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570" windowHeight="9435" activeTab="0"/>
  </bookViews>
  <sheets>
    <sheet name="АД 112" sheetId="1" r:id="rId1"/>
    <sheet name="АД 204" sheetId="2" r:id="rId2"/>
    <sheet name="АД 305" sheetId="3" r:id="rId3"/>
    <sheet name="Дант 411" sheetId="4" r:id="rId4"/>
    <sheet name="Дант 217" sheetId="5" r:id="rId5"/>
    <sheet name="ЛабД 2013" sheetId="6" r:id="rId6"/>
    <sheet name="ЛабД 409" sheetId="7" r:id="rId7"/>
    <sheet name="ЛабД 310" sheetId="8" r:id="rId8"/>
    <sheet name="ЛД 206" sheetId="9" r:id="rId9"/>
    <sheet name="ЛД 207" sheetId="10" r:id="rId10"/>
    <sheet name="ЛД 208" sheetId="11" r:id="rId11"/>
    <sheet name="ЛД 305" sheetId="12" r:id="rId12"/>
    <sheet name="ЛД 307" sheetId="13" r:id="rId13"/>
    <sheet name="ЛД 308" sheetId="14" r:id="rId14"/>
    <sheet name="ЛД 309" sheetId="15" r:id="rId15"/>
    <sheet name="ЛД 406" sheetId="16" r:id="rId16"/>
    <sheet name="ЛД 407" sheetId="17" r:id="rId17"/>
    <sheet name="ЛД 408" sheetId="18" r:id="rId18"/>
    <sheet name="ЛД 414" sheetId="19" r:id="rId19"/>
    <sheet name="ЛД 210" sheetId="20" r:id="rId20"/>
    <sheet name="ЛД 211" sheetId="21" r:id="rId21"/>
    <sheet name="ЛД 306" sheetId="22" r:id="rId22"/>
    <sheet name="СД 201" sheetId="23" r:id="rId23"/>
    <sheet name="СД 202" sheetId="24" r:id="rId24"/>
    <sheet name="СД 203" sheetId="25" r:id="rId25"/>
    <sheet name="СД 204" sheetId="26" r:id="rId26"/>
    <sheet name="СД 205" sheetId="27" r:id="rId27"/>
    <sheet name="СД 301" sheetId="28" r:id="rId28"/>
    <sheet name="СД 302" sheetId="29" r:id="rId29"/>
    <sheet name="СД 303" sheetId="30" r:id="rId30"/>
    <sheet name="СД 401" sheetId="31" r:id="rId31"/>
    <sheet name="СД 402" sheetId="32" r:id="rId32"/>
    <sheet name="Лист34" sheetId="33" r:id="rId33"/>
    <sheet name="СД 403" sheetId="34" r:id="rId34"/>
    <sheet name="Фарм 114" sheetId="35" r:id="rId35"/>
    <sheet name="Фарм 115" sheetId="36" r:id="rId36"/>
    <sheet name="Фарм 211" sheetId="37" r:id="rId37"/>
    <sheet name="Фарм 216" sheetId="38" r:id="rId38"/>
    <sheet name="Фарм 310" sheetId="39" r:id="rId39"/>
    <sheet name="Фарм 117" sheetId="40" r:id="rId40"/>
    <sheet name="Фарм 212" sheetId="41" r:id="rId41"/>
    <sheet name="Фарм 313" sheetId="42" r:id="rId42"/>
    <sheet name="ЛД 209" sheetId="43" r:id="rId43"/>
  </sheets>
  <externalReferences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<sst xmlns="http://schemas.openxmlformats.org/spreadsheetml/2006/main" count="1919" uniqueCount="1111">
  <si>
    <t>ИТОГ по группе</t>
  </si>
  <si>
    <t>№</t>
  </si>
  <si>
    <t>ФИО</t>
  </si>
  <si>
    <t>ИТОГ</t>
  </si>
  <si>
    <t>участие в спортивных мероприятиях за сборную колледжа</t>
  </si>
  <si>
    <t>Участие в работе в отряде содействия полиции  за  колледжа</t>
  </si>
  <si>
    <t xml:space="preserve">Участие во флеш-мобах </t>
  </si>
  <si>
    <t>Оценка 5</t>
  </si>
  <si>
    <t>оценка 4</t>
  </si>
  <si>
    <t>оценка 3</t>
  </si>
  <si>
    <t>оценка 2</t>
  </si>
  <si>
    <t>пропуски по неуважительной причине</t>
  </si>
  <si>
    <t>неаттестован по одному предмету</t>
  </si>
  <si>
    <t>Участие в научно-исследовательсокй работе</t>
  </si>
  <si>
    <t>Участие в спортивных мероприятиях</t>
  </si>
  <si>
    <t>Участие в культурнро-массовом мероприятии</t>
  </si>
  <si>
    <t>Участие в студенческом самоправлении</t>
  </si>
  <si>
    <t>Соблюдение правил внутреннего распорядка</t>
  </si>
  <si>
    <t>Участие в походах, экскурсиях, посещение театров</t>
  </si>
  <si>
    <t xml:space="preserve">итог </t>
  </si>
  <si>
    <t xml:space="preserve">Руководитель группы : </t>
  </si>
  <si>
    <t>Амантаева Шынар</t>
  </si>
  <si>
    <t>Асқарбекова Аяулым</t>
  </si>
  <si>
    <t>Әкін Бағжан</t>
  </si>
  <si>
    <t>Бектемир Зағила</t>
  </si>
  <si>
    <t>Зияданова Жанерке</t>
  </si>
  <si>
    <t>Жанатова Жұлдыз</t>
  </si>
  <si>
    <t>Қапезова Райгуль</t>
  </si>
  <si>
    <t>Қасымова Гулдиана</t>
  </si>
  <si>
    <t>Қайратова Саида</t>
  </si>
  <si>
    <t>Қанапиянова Динара</t>
  </si>
  <si>
    <t>Куспекова Тахмина</t>
  </si>
  <si>
    <t>Маратова Алина</t>
  </si>
  <si>
    <t>Меделбекова Альбина</t>
  </si>
  <si>
    <t>Нұрмұхамбетова Тлектес</t>
  </si>
  <si>
    <t>Оралқанова Арайлым</t>
  </si>
  <si>
    <t>Сағатпаева Бибігул</t>
  </si>
  <si>
    <t>Сансызбаева Жанель</t>
  </si>
  <si>
    <t>Сақаба Ұлпан</t>
  </si>
  <si>
    <t>Серікова Елдана</t>
  </si>
  <si>
    <t>Иманғазин Әділет</t>
  </si>
  <si>
    <t>Фархатова Диляра</t>
  </si>
  <si>
    <t>Мұхамеджанова Жанар</t>
  </si>
  <si>
    <t>Зарықбекова Ақмарал</t>
  </si>
  <si>
    <t>Сұлтанова Аяулым</t>
  </si>
  <si>
    <t>Жәнібеков Дарын</t>
  </si>
  <si>
    <t>Сулейменова А.А.</t>
  </si>
  <si>
    <t>Группа  АД 112</t>
  </si>
  <si>
    <t>Группа АД 204</t>
  </si>
  <si>
    <t>Айтпайқызы Мәдина</t>
  </si>
  <si>
    <t xml:space="preserve">Армиянов Мирас </t>
  </si>
  <si>
    <t xml:space="preserve">Белая Анжелика </t>
  </si>
  <si>
    <t xml:space="preserve">Будакова Вероника </t>
  </si>
  <si>
    <t xml:space="preserve">Есеркенова Камилла </t>
  </si>
  <si>
    <t xml:space="preserve">Әбілбаева Аяулым </t>
  </si>
  <si>
    <t xml:space="preserve">Әскерханова Ақбота </t>
  </si>
  <si>
    <t xml:space="preserve">Жумагулова Ажар </t>
  </si>
  <si>
    <t xml:space="preserve">Ибрагим Ажархан </t>
  </si>
  <si>
    <t xml:space="preserve">Камзинова Аида </t>
  </si>
  <si>
    <t xml:space="preserve">Козлова Жанна </t>
  </si>
  <si>
    <t xml:space="preserve">Қабдолдинова Нұрай </t>
  </si>
  <si>
    <t xml:space="preserve">Латкина Людмила  </t>
  </si>
  <si>
    <t xml:space="preserve">Манарбекова Жансая </t>
  </si>
  <si>
    <t xml:space="preserve">Маратканова Анастасия </t>
  </si>
  <si>
    <t xml:space="preserve">Мәлікова Аяжан </t>
  </si>
  <si>
    <t xml:space="preserve">Мұратбекова Гүлдер </t>
  </si>
  <si>
    <t xml:space="preserve">Нұрмұханбетова Кәмила </t>
  </si>
  <si>
    <t xml:space="preserve">Петриченко Павел </t>
  </si>
  <si>
    <t xml:space="preserve">Сабаева Кристина </t>
  </si>
  <si>
    <t xml:space="preserve">Серикова Назерке </t>
  </si>
  <si>
    <t xml:space="preserve">Сұлтанова Әйгерім </t>
  </si>
  <si>
    <t xml:space="preserve">Эжгиреева Амина </t>
  </si>
  <si>
    <t>АД-305 группа (1 семестр 2019-2020 уч.год)</t>
  </si>
  <si>
    <t>Адрышева Амина Ериковна</t>
  </si>
  <si>
    <t>Айдарханова Ақнұр Ерболатқызы</t>
  </si>
  <si>
    <t>Айымбекқызы Балжан</t>
  </si>
  <si>
    <t>Әшөкова Жауһазын Бекболатқызы</t>
  </si>
  <si>
    <t>Байсалбаева Назерке Мейрамханқызы</t>
  </si>
  <si>
    <t>Жәнібекова Сабина Жәнібекқызы</t>
  </si>
  <si>
    <t>Дәлелханқызы Шұғыла</t>
  </si>
  <si>
    <t>Дәулетханова Мөлдір Бауырханқызы</t>
  </si>
  <si>
    <t>Ерболатова Динара Ерболатқызы</t>
  </si>
  <si>
    <t>Ерланова Еркежан Ерланқызы</t>
  </si>
  <si>
    <t>Замашова Арайлым Бақытбекқызы</t>
  </si>
  <si>
    <t>Камзина Алия Сериккановна</t>
  </si>
  <si>
    <t>Кеңесова Салтанат Кеңесқызы</t>
  </si>
  <si>
    <t>Кокен Жанбота</t>
  </si>
  <si>
    <t>Қаленова Мадина Қибатолдақызы</t>
  </si>
  <si>
    <t>Қинаят Талшын Нұрланқызы</t>
  </si>
  <si>
    <t>Медетқызы Арайлым</t>
  </si>
  <si>
    <t>Мүслімханова Зауре Қайдарбекқызы</t>
  </si>
  <si>
    <t>Нұрболова Айым</t>
  </si>
  <si>
    <t>Садуакасова Алмара Ахметбековна</t>
  </si>
  <si>
    <t>Сеилғумарова Айгүл Сағымбекқызы</t>
  </si>
  <si>
    <t>Сләмханова Ақбота Әділетқызы</t>
  </si>
  <si>
    <t>Слямбекова Инабат Мұратханқызы</t>
  </si>
  <si>
    <t>Тоқтарова Әсем Тоқтарқызы</t>
  </si>
  <si>
    <t>Төлеубекова Аяулым Айбынқызы</t>
  </si>
  <si>
    <t>Уалиева Зарина Бақытқызы</t>
  </si>
  <si>
    <t>Бақытжанова Ақмарал Бақытжанқызы</t>
  </si>
  <si>
    <t>группа Дант 411</t>
  </si>
  <si>
    <t>итог 5 сем</t>
  </si>
  <si>
    <t>Азаев Джарар</t>
  </si>
  <si>
    <t>Алсуфьев Александр</t>
  </si>
  <si>
    <t>Асхатұлы Әлішер</t>
  </si>
  <si>
    <t>Ахметжанова Айгерим</t>
  </si>
  <si>
    <t>Байгабулов Сеилхан</t>
  </si>
  <si>
    <t>Байгазанов Ерлан</t>
  </si>
  <si>
    <t>Ветошкина Ирина</t>
  </si>
  <si>
    <t>Грохотов Роман</t>
  </si>
  <si>
    <t xml:space="preserve">Журба Кристина </t>
  </si>
  <si>
    <t>Клейманова Маргарита</t>
  </si>
  <si>
    <t>Крикуненко Любовь</t>
  </si>
  <si>
    <t>Қабылқақова Толкын</t>
  </si>
  <si>
    <t>Лысогор Анастасия</t>
  </si>
  <si>
    <t>Мальцева София</t>
  </si>
  <si>
    <t>Мухаметкалиева Сауле</t>
  </si>
  <si>
    <t>Орлов Александр</t>
  </si>
  <si>
    <t xml:space="preserve">Рымбаева Лаура </t>
  </si>
  <si>
    <t>Сарайкина Регина</t>
  </si>
  <si>
    <t>Тастанбекова Айдана</t>
  </si>
  <si>
    <t>Трашкова Татьяна</t>
  </si>
  <si>
    <t>Фогельман Яна</t>
  </si>
  <si>
    <t xml:space="preserve">Чанова Александра </t>
  </si>
  <si>
    <t>Шуринова Марина</t>
  </si>
  <si>
    <t>Группа - Дант217</t>
  </si>
  <si>
    <t>Белицкий Н.В</t>
  </si>
  <si>
    <t>Бердюгин Н.А</t>
  </si>
  <si>
    <t>Бондарев Д.Л</t>
  </si>
  <si>
    <t>Валиева А.Р</t>
  </si>
  <si>
    <t>Газиев Р.Б</t>
  </si>
  <si>
    <t>Голышак К.И</t>
  </si>
  <si>
    <t>Джумабекова Ж.Р</t>
  </si>
  <si>
    <t>Дайнес С.Д</t>
  </si>
  <si>
    <t>Дмитриева А.А</t>
  </si>
  <si>
    <t>Елғазинов А.Е</t>
  </si>
  <si>
    <t>Емельянов А.Д</t>
  </si>
  <si>
    <t>Ефимик А.А</t>
  </si>
  <si>
    <t>Кожухова В.В</t>
  </si>
  <si>
    <t>Кузьмина С.А</t>
  </si>
  <si>
    <t>Колесов Р.Д</t>
  </si>
  <si>
    <t>Лаптев Н.В</t>
  </si>
  <si>
    <t>Макаренко А.Ю</t>
  </si>
  <si>
    <t>Мамырханов Ә.Б</t>
  </si>
  <si>
    <t>Недугова А.В</t>
  </si>
  <si>
    <t>Орлова И.И</t>
  </si>
  <si>
    <t>Щербинин В.Е</t>
  </si>
  <si>
    <t>Группа ЛабД-213</t>
  </si>
  <si>
    <r>
      <rPr>
        <sz val="8"/>
        <color indexed="8"/>
        <rFont val="Times New Roman"/>
        <family val="1"/>
      </rPr>
      <t xml:space="preserve">Аксенова Евгения Александровна </t>
    </r>
  </si>
  <si>
    <t>Андреева Еватерина Сергеевна</t>
  </si>
  <si>
    <t>Бақытқазыұлы Ерасыл</t>
  </si>
  <si>
    <t>Бақытбекова Мақпал Айдынқызы</t>
  </si>
  <si>
    <t>Будюкина Надежда Андреевна</t>
  </si>
  <si>
    <t>Болатов Елжас Мерхадұлы</t>
  </si>
  <si>
    <t>Василков Александр Александрович</t>
  </si>
  <si>
    <t>Газизова Наргиз Берікқызы</t>
  </si>
  <si>
    <t>Ерболат Алмаз Ерболатұлы</t>
  </si>
  <si>
    <t>Иванова Инна Михайловна</t>
  </si>
  <si>
    <t>Кадырбаева Айман Булатовна</t>
  </si>
  <si>
    <t>Котова Арина Дмитриевна</t>
  </si>
  <si>
    <t>Мұратханова Арай Аманқызы</t>
  </si>
  <si>
    <t>Муканова Алина Еркатовна</t>
  </si>
  <si>
    <t>Петухова Ксения Владимировна</t>
  </si>
  <si>
    <t>Рымбекова Айым Ержанқызы</t>
  </si>
  <si>
    <t>Рященко Алена Павловна</t>
  </si>
  <si>
    <t xml:space="preserve"> Социалова Айша-Биби Мақұлбекқызы</t>
  </si>
  <si>
    <t>Сарсембинова Амина Сериккызы</t>
  </si>
  <si>
    <t xml:space="preserve">Хакимова Светлана Руслановна </t>
  </si>
  <si>
    <t xml:space="preserve">Челикпаева Аяужан Ойратовна </t>
  </si>
  <si>
    <t xml:space="preserve">Шагаева Елена Евгеньевна </t>
  </si>
  <si>
    <t>Шушенькова Анастасия Анатольевна</t>
  </si>
  <si>
    <t>Яковин Артем Андреевич</t>
  </si>
  <si>
    <t>Бажигалиева Д.Б.</t>
  </si>
  <si>
    <t>группа Лабд-409</t>
  </si>
  <si>
    <t>Алексеенко А</t>
  </si>
  <si>
    <t>Амренова К</t>
  </si>
  <si>
    <t>АртеменкоД</t>
  </si>
  <si>
    <t>АбылғазинаТ</t>
  </si>
  <si>
    <t>Базақанова А</t>
  </si>
  <si>
    <t>Вахитова Л</t>
  </si>
  <si>
    <t>Гамбург Р</t>
  </si>
  <si>
    <t>Джанкулов В</t>
  </si>
  <si>
    <t>Жангурчинова М</t>
  </si>
  <si>
    <t>Зуева О</t>
  </si>
  <si>
    <t>Кованова А</t>
  </si>
  <si>
    <t>Кононова А</t>
  </si>
  <si>
    <t>Коноплева А</t>
  </si>
  <si>
    <t>Қадырбекова  А</t>
  </si>
  <si>
    <t>Қыстаубаева Е</t>
  </si>
  <si>
    <t>МартыноваЕ</t>
  </si>
  <si>
    <t>Медянцева В</t>
  </si>
  <si>
    <t>Менцель Л</t>
  </si>
  <si>
    <t>Мұқанова Ә</t>
  </si>
  <si>
    <t>ПолтарацкаяА</t>
  </si>
  <si>
    <t>Сизикова В</t>
  </si>
  <si>
    <t>Советова Ж</t>
  </si>
  <si>
    <t>Группа ЛабД 310</t>
  </si>
  <si>
    <t>Алмасхан Мадина</t>
  </si>
  <si>
    <t>Аубакирова Баыт</t>
  </si>
  <si>
    <t>Бектенова Карина</t>
  </si>
  <si>
    <t>Бочкарева Александра</t>
  </si>
  <si>
    <t>Гирш Анжелика</t>
  </si>
  <si>
    <t>Даутханова Жанаргуль</t>
  </si>
  <si>
    <t>Еремина Дарья</t>
  </si>
  <si>
    <t>Кривошеина Полина</t>
  </si>
  <si>
    <t>Кайроллаева Алуа</t>
  </si>
  <si>
    <t>Манап Аружан</t>
  </si>
  <si>
    <t>Молдахан Улжан</t>
  </si>
  <si>
    <t>Муратова Арна</t>
  </si>
  <si>
    <t>Поползина Евгения</t>
  </si>
  <si>
    <t>Пучкина Анна</t>
  </si>
  <si>
    <t>Рахманова Арина</t>
  </si>
  <si>
    <t>Сабаева Дарья</t>
  </si>
  <si>
    <t>Саинова Альбина</t>
  </si>
  <si>
    <t>Уляшина Анастасия</t>
  </si>
  <si>
    <t>Черткова Кристина</t>
  </si>
  <si>
    <t>Шеффер Вера</t>
  </si>
  <si>
    <t>Группа ЛД 206</t>
  </si>
  <si>
    <t>Алтымбекова Амина</t>
  </si>
  <si>
    <t>Аманбаев Дәулет</t>
  </si>
  <si>
    <t>Ахатов Нурбек</t>
  </si>
  <si>
    <t>Әділханов Ердәулет</t>
  </si>
  <si>
    <t>Әуесбеков Алдияр</t>
  </si>
  <si>
    <t>Болатова Ақерке</t>
  </si>
  <si>
    <t>Елтаев Ерасыл</t>
  </si>
  <si>
    <t>Ерембеков Ержан</t>
  </si>
  <si>
    <t>Еркінбекова Аяулым</t>
  </si>
  <si>
    <t>Жанарбекқызы Аяулым</t>
  </si>
  <si>
    <t>Жеңісбек Қымбат</t>
  </si>
  <si>
    <t>Жапаров Қуаныш</t>
  </si>
  <si>
    <t>Кабешев Кенжебек</t>
  </si>
  <si>
    <t>Қабиева Ақерке</t>
  </si>
  <si>
    <t>Қадылбекова Дана</t>
  </si>
  <si>
    <t>Кажмуканова Жазира</t>
  </si>
  <si>
    <t>Калиаскарова Камила</t>
  </si>
  <si>
    <t>Кәмәлбекова Айдана</t>
  </si>
  <si>
    <t>Карибаева Назгуль</t>
  </si>
  <si>
    <t>Манарбек Мадина</t>
  </si>
  <si>
    <t>Ниязбекова Назерке</t>
  </si>
  <si>
    <t>Ринатқызы Аружан</t>
  </si>
  <si>
    <t>Рыспаева Жанар</t>
  </si>
  <si>
    <t>Салбанова Дана</t>
  </si>
  <si>
    <t>Сериков Диас</t>
  </si>
  <si>
    <t>Группа ЛД 207</t>
  </si>
  <si>
    <t>Каримова Наргиз Маратовна</t>
  </si>
  <si>
    <t>Байзолдина Даяна Данияровна</t>
  </si>
  <si>
    <t>Әлімханова Жансая Ержанқызы</t>
  </si>
  <si>
    <t>Тайгулинова Камила Кихметовна</t>
  </si>
  <si>
    <t>Ерғазыұлы Мұхамед</t>
  </si>
  <si>
    <t>Әбдірахманов Серікбол Нұролдаұлы</t>
  </si>
  <si>
    <t>Аникопов Темірлан Ержанұлы</t>
  </si>
  <si>
    <t>Мирланқызы Айым</t>
  </si>
  <si>
    <t>Нағашыбаева Алтынгүл Қинаятбекқызы</t>
  </si>
  <si>
    <t>Руководитель группы :  Айткалиев Т.С.</t>
  </si>
  <si>
    <t>Группа ЛД 208</t>
  </si>
  <si>
    <t>Алтаева Малика Эльнарқызы</t>
  </si>
  <si>
    <t xml:space="preserve">Аскарова Айгуль Муратовна </t>
  </si>
  <si>
    <t>Ахадов Иван Евгеньевич</t>
  </si>
  <si>
    <t>Бежунарова Анастасия Васильевна</t>
  </si>
  <si>
    <t>Бердинова Алина Тимурқызы</t>
  </si>
  <si>
    <t xml:space="preserve">Бұлғұнов Дарын Жақанұлы </t>
  </si>
  <si>
    <t>Дадаева Зарина Ражабдиновна</t>
  </si>
  <si>
    <t xml:space="preserve">Жоломанов Даурен </t>
  </si>
  <si>
    <t>Зверькова Виктория Викторовна</t>
  </si>
  <si>
    <t xml:space="preserve">Ибрагимов Рустам Абдунаимович </t>
  </si>
  <si>
    <t>Керимбеков Абылайхан Куралбекович</t>
  </si>
  <si>
    <t>Комольцева Елизавета Сергеевна</t>
  </si>
  <si>
    <t xml:space="preserve">Мищерякова Анастасия Андреевна </t>
  </si>
  <si>
    <t>Мухаметқалиев Қуаныш Дәулетұлы</t>
  </si>
  <si>
    <t xml:space="preserve">Мұздыбаева Айжан Арманқызы </t>
  </si>
  <si>
    <t>Мүтәләпов Зейін Аманжолұлы</t>
  </si>
  <si>
    <t>Оразов Чингис Ержанович</t>
  </si>
  <si>
    <t>Сарсекова Айгерим Тимуровна</t>
  </si>
  <si>
    <t xml:space="preserve">Семенихин Василий Владимирович </t>
  </si>
  <si>
    <t xml:space="preserve">Сулейменова Айжан Габиденовна </t>
  </si>
  <si>
    <t>Тұқтасинова Данара Асқарқызы</t>
  </si>
  <si>
    <t>Харламов Александр Владимирович</t>
  </si>
  <si>
    <t>Шафигуллина Дина Вадутовна</t>
  </si>
  <si>
    <t>Ахметханова Макпал Бекболатовна</t>
  </si>
  <si>
    <t>Участие во флеш-мобах</t>
  </si>
  <si>
    <t>группа ЛД  305</t>
  </si>
  <si>
    <t>АбайхановаАқтолқын.</t>
  </si>
  <si>
    <t>Абзалқызы Назерке.</t>
  </si>
  <si>
    <t>Ақатаева   Махаббат.</t>
  </si>
  <si>
    <t xml:space="preserve">Алтыбаев  Берік.   </t>
  </si>
  <si>
    <t xml:space="preserve">Болатбек Ақбота. </t>
  </si>
  <si>
    <t xml:space="preserve">Бұтабаева  Айым.  </t>
  </si>
  <si>
    <t xml:space="preserve">Жәнібекова  Ақбота. </t>
  </si>
  <si>
    <t xml:space="preserve">Зайнулда  Ернар.  </t>
  </si>
  <si>
    <t xml:space="preserve">Қалиасқарова  Данагүл . </t>
  </si>
  <si>
    <t>Қуанбекқызы Айтолқын.</t>
  </si>
  <si>
    <t xml:space="preserve">Қасенова Меруерт. </t>
  </si>
  <si>
    <t xml:space="preserve">Құдайбергенов Еркебұлан. </t>
  </si>
  <si>
    <t>Құрмашева Лаура.</t>
  </si>
  <si>
    <t xml:space="preserve">Мейір Марфуға . </t>
  </si>
  <si>
    <t xml:space="preserve">Молдағали Мөлдір. </t>
  </si>
  <si>
    <t>Оралханова Алтынай .</t>
  </si>
  <si>
    <t xml:space="preserve">Рыстыбаева Науат. </t>
  </si>
  <si>
    <t xml:space="preserve">Сарсекова Саина. </t>
  </si>
  <si>
    <t>Сахариев Асылан</t>
  </si>
  <si>
    <t>Сәдуақасова Диана</t>
  </si>
  <si>
    <t>Тоқтақынов Ерлан</t>
  </si>
  <si>
    <t>Тілеуберді Мағжан</t>
  </si>
  <si>
    <t>Төлегенов Ернар</t>
  </si>
  <si>
    <t>Фаизов Ерасыл</t>
  </si>
  <si>
    <t>Куратор: Молдаханова Т.Т.</t>
  </si>
  <si>
    <t>Группа ЛД-307</t>
  </si>
  <si>
    <t>Аблайхан Е</t>
  </si>
  <si>
    <t>Ануарбекова Г</t>
  </si>
  <si>
    <t>Аргымбекова А</t>
  </si>
  <si>
    <t>Аримбекова А</t>
  </si>
  <si>
    <t>Аскерхан Ж</t>
  </si>
  <si>
    <t>Баймолдинова Ж</t>
  </si>
  <si>
    <t>Бидахметова А</t>
  </si>
  <si>
    <t>Демеубаева Т</t>
  </si>
  <si>
    <t>Дікенов Е</t>
  </si>
  <si>
    <t>Дүйсенбекова А</t>
  </si>
  <si>
    <t>Есенханова М</t>
  </si>
  <si>
    <t>Әнуарханов Е</t>
  </si>
  <si>
    <t>Зайнулдинов А</t>
  </si>
  <si>
    <t>Канетов Н</t>
  </si>
  <si>
    <t>Қайрғазин Н</t>
  </si>
  <si>
    <t>Куанышбаева К</t>
  </si>
  <si>
    <t>Мәкенов Т</t>
  </si>
  <si>
    <t>Мұхтар С</t>
  </si>
  <si>
    <t>Мұхтарбекова А</t>
  </si>
  <si>
    <t>Нұрлыбекова А</t>
  </si>
  <si>
    <t>Нұрмұхамбетов Е</t>
  </si>
  <si>
    <t>Сайлауқанов С</t>
  </si>
  <si>
    <t>Раисова Ж</t>
  </si>
  <si>
    <t>Тілекқызы Д</t>
  </si>
  <si>
    <t>Щербакова Д</t>
  </si>
  <si>
    <t>Всего</t>
  </si>
  <si>
    <t>Руководитель группы : Сеиткамзанов Н.С</t>
  </si>
  <si>
    <t>Группа ЛД-308</t>
  </si>
  <si>
    <t xml:space="preserve">Альжанова Анель </t>
  </si>
  <si>
    <t xml:space="preserve">Анакулова Сабина </t>
  </si>
  <si>
    <t xml:space="preserve">Бауыржанов Мейіржан </t>
  </si>
  <si>
    <t xml:space="preserve">Ғазизов Жандос </t>
  </si>
  <si>
    <t xml:space="preserve">Дудина Анна </t>
  </si>
  <si>
    <t xml:space="preserve">Ивукина Анна </t>
  </si>
  <si>
    <t xml:space="preserve">Жұмағали Жансая </t>
  </si>
  <si>
    <t>Жумагулов Кайрат</t>
  </si>
  <si>
    <t xml:space="preserve">Ионина Елена </t>
  </si>
  <si>
    <t xml:space="preserve">Казанцев Андрей </t>
  </si>
  <si>
    <t xml:space="preserve">Королькова Анастасия </t>
  </si>
  <si>
    <t xml:space="preserve">Крауш Валерия </t>
  </si>
  <si>
    <t xml:space="preserve">Лұқпанова Алтынай </t>
  </si>
  <si>
    <t xml:space="preserve">Маулетканов Рахат </t>
  </si>
  <si>
    <t xml:space="preserve">Мухина Екатерина </t>
  </si>
  <si>
    <t xml:space="preserve">Мерсеитова Алтынгуль </t>
  </si>
  <si>
    <t xml:space="preserve">Нурмухаметова Алина </t>
  </si>
  <si>
    <t xml:space="preserve">Омержанова Анель </t>
  </si>
  <si>
    <t xml:space="preserve">Рахметов Мерей </t>
  </si>
  <si>
    <t xml:space="preserve">Рыльская Алена  </t>
  </si>
  <si>
    <t xml:space="preserve">Стряпчева Юлия  </t>
  </si>
  <si>
    <t xml:space="preserve">Тоқтарова Назира </t>
  </si>
  <si>
    <t xml:space="preserve">Ударцев Алексей </t>
  </si>
  <si>
    <t xml:space="preserve">Цих Дарья </t>
  </si>
  <si>
    <t xml:space="preserve">Чадина Маргарита </t>
  </si>
  <si>
    <t xml:space="preserve">Закарьянова Айымгуль </t>
  </si>
  <si>
    <t xml:space="preserve">Яковлева Вера </t>
  </si>
  <si>
    <t>куратор Папышева Г.К.</t>
  </si>
  <si>
    <t>Группа ЛД 309</t>
  </si>
  <si>
    <t>Абакумова Наталья</t>
  </si>
  <si>
    <t>Балабанченко Евгения</t>
  </si>
  <si>
    <t>Бугайцов Станислав</t>
  </si>
  <si>
    <t>Гордеева Карина</t>
  </si>
  <si>
    <t>Гордеева Кристина</t>
  </si>
  <si>
    <t>Грачева Юлия</t>
  </si>
  <si>
    <t>Калошина Галина</t>
  </si>
  <si>
    <t>Кимосова Ирина</t>
  </si>
  <si>
    <t>Колесникова Алина</t>
  </si>
  <si>
    <t>Кун Игорь</t>
  </si>
  <si>
    <t>Кушнарева Юлия</t>
  </si>
  <si>
    <t>Максимов Александр</t>
  </si>
  <si>
    <t>Рудницкий Станислав</t>
  </si>
  <si>
    <t>Рыльский Михаил</t>
  </si>
  <si>
    <t>Сагымбаева Карина</t>
  </si>
  <si>
    <t>Сахновская Ксения</t>
  </si>
  <si>
    <t>Симоненко Алена</t>
  </si>
  <si>
    <t>Созонова Александра</t>
  </si>
  <si>
    <t>Ушаков Юрий</t>
  </si>
  <si>
    <t>Шишкина Маргарита</t>
  </si>
  <si>
    <t>Группа ЛД-406</t>
  </si>
  <si>
    <t>Акыбаева Мөлдір</t>
  </si>
  <si>
    <t>Армиянов Нұртаң</t>
  </si>
  <si>
    <t>Ахметова Айнар</t>
  </si>
  <si>
    <t>Әскербекова Аида</t>
  </si>
  <si>
    <t>Әскерқанов Арнұр</t>
  </si>
  <si>
    <t>Бақытбек Мерей</t>
  </si>
  <si>
    <t>Баспақова Гүлназ</t>
  </si>
  <si>
    <t>Бекенов Ақжол</t>
  </si>
  <si>
    <t>Ерболова Диляра</t>
  </si>
  <si>
    <t>Ерғазин Архат</t>
  </si>
  <si>
    <t>Жүкен Нұрхат</t>
  </si>
  <si>
    <t>Залитанова Толғанай</t>
  </si>
  <si>
    <t>Кенесханов Али</t>
  </si>
  <si>
    <t>Қабаева Аяулым</t>
  </si>
  <si>
    <t>Қабиолданов Фархат</t>
  </si>
  <si>
    <t>Қалибекова Айдана</t>
  </si>
  <si>
    <t>Қасымова Дариға</t>
  </si>
  <si>
    <t>Мейрамбеков Алмас</t>
  </si>
  <si>
    <t>Мұхамед Аружан</t>
  </si>
  <si>
    <t>Мұхаметтоқтаров Болат</t>
  </si>
  <si>
    <t>Нұрбекова Анар</t>
  </si>
  <si>
    <t>Оралбаев Данияр</t>
  </si>
  <si>
    <t>Оралбаева Дария</t>
  </si>
  <si>
    <t>Ризабек Мейір</t>
  </si>
  <si>
    <t>Серікжанқызы Арайлым</t>
  </si>
  <si>
    <t>Серікұлы Дәурен</t>
  </si>
  <si>
    <t>Талғатұлы Сабыржан</t>
  </si>
  <si>
    <t>Тоқтасынов Жантас</t>
  </si>
  <si>
    <t>Қабылғожаева Толғанай</t>
  </si>
  <si>
    <t>Абенова А.А.</t>
  </si>
  <si>
    <t>Группа ЛД 407</t>
  </si>
  <si>
    <t>Альханова Арина</t>
  </si>
  <si>
    <t>Амантайұлы Ерназ</t>
  </si>
  <si>
    <t>Ахметасй Елнар</t>
  </si>
  <si>
    <t>Байжигитова Алуа</t>
  </si>
  <si>
    <t>Бақытханова Талшын</t>
  </si>
  <si>
    <t>Бейбітқызы Мәдинә</t>
  </si>
  <si>
    <t>Бекенова Ақбота</t>
  </si>
  <si>
    <t>Ғабдуллин Ернар</t>
  </si>
  <si>
    <t>Ғазизова Маржан</t>
  </si>
  <si>
    <t>Елтринова Жанель</t>
  </si>
  <si>
    <t>Жанайханова Мәдина</t>
  </si>
  <si>
    <t>Изетов Шеризат</t>
  </si>
  <si>
    <t>Каженова Мадина</t>
  </si>
  <si>
    <t>Кенжебеков Жігер</t>
  </si>
  <si>
    <t>Кәрімова Ақбота</t>
  </si>
  <si>
    <t>Қабышев Асқар</t>
  </si>
  <si>
    <t>Қазақбаева Мөлдір</t>
  </si>
  <si>
    <t>Қуанған Айнар</t>
  </si>
  <si>
    <t>Мүсетаев Тасқын</t>
  </si>
  <si>
    <t>Мұхтархан Айгерім</t>
  </si>
  <si>
    <t>Нұрланұлы Ерасыл</t>
  </si>
  <si>
    <t>Нұрсәлімов Дастан</t>
  </si>
  <si>
    <t>Раздықова Зарина</t>
  </si>
  <si>
    <t>Сансызбаева Жадыра</t>
  </si>
  <si>
    <t>Сейітқасымова Альнара</t>
  </si>
  <si>
    <t>Сейсегатова Аяулы</t>
  </si>
  <si>
    <t>Серіков Еламан</t>
  </si>
  <si>
    <t>Сымбатұлы Бауыржан</t>
  </si>
  <si>
    <t>Шәріпқанова Әнел</t>
  </si>
  <si>
    <t>Скакова Ф М</t>
  </si>
  <si>
    <t>Группа ЛД 408</t>
  </si>
  <si>
    <t xml:space="preserve">Ақылбекова Мәдина </t>
  </si>
  <si>
    <t xml:space="preserve">Андреева Елена </t>
  </si>
  <si>
    <t xml:space="preserve">Афанасьева Каролина </t>
  </si>
  <si>
    <t xml:space="preserve">Бахчёва Анастасия </t>
  </si>
  <si>
    <t xml:space="preserve">Бекжанов Нияз </t>
  </si>
  <si>
    <t xml:space="preserve">Белоусов Александр </t>
  </si>
  <si>
    <t xml:space="preserve">Вязигин Юрий </t>
  </si>
  <si>
    <t xml:space="preserve">Горох Ирина </t>
  </si>
  <si>
    <t xml:space="preserve">Джамбулатова Карина </t>
  </si>
  <si>
    <t xml:space="preserve">Дюсенов Дамир </t>
  </si>
  <si>
    <t>Егоров Владимир</t>
  </si>
  <si>
    <t>Ерболатқызы Анель</t>
  </si>
  <si>
    <t>Жәнібекова Айым</t>
  </si>
  <si>
    <t>Ибраева Гульнар</t>
  </si>
  <si>
    <t>Кабыш Сауле</t>
  </si>
  <si>
    <t>Каратаев Максим</t>
  </si>
  <si>
    <t>Каратаева Екатерина</t>
  </si>
  <si>
    <t xml:space="preserve">Каримова Шабнам </t>
  </si>
  <si>
    <t>Касенов Александр</t>
  </si>
  <si>
    <t>Каситская Алина</t>
  </si>
  <si>
    <t>Киселев Иван</t>
  </si>
  <si>
    <t xml:space="preserve">Матвеева Анастасия </t>
  </si>
  <si>
    <t>Наак Рихарт</t>
  </si>
  <si>
    <t>Нуржанов Тимур</t>
  </si>
  <si>
    <t>Першин Данил</t>
  </si>
  <si>
    <t>Подойникова Елизавета</t>
  </si>
  <si>
    <t>Попова Наталья</t>
  </si>
  <si>
    <t>Ратников Артур</t>
  </si>
  <si>
    <t>Рыкова Мария</t>
  </si>
  <si>
    <t>Рычко Маргарита</t>
  </si>
  <si>
    <t>Умытпаева Альмира</t>
  </si>
  <si>
    <t>Черских Анастасия</t>
  </si>
  <si>
    <t>Шевченко Артем</t>
  </si>
  <si>
    <t xml:space="preserve">Шкарпетина Инга </t>
  </si>
  <si>
    <t>Руководитель группы:</t>
  </si>
  <si>
    <t>Адамова З.Т.</t>
  </si>
  <si>
    <t xml:space="preserve">ГРУППА  ЛД 414 </t>
  </si>
  <si>
    <t xml:space="preserve">ИТОГ по группе ЛД 414 </t>
  </si>
  <si>
    <t>Аканова Гульнара</t>
  </si>
  <si>
    <t>Акылбек Ержан</t>
  </si>
  <si>
    <t>Ашаргина Палина</t>
  </si>
  <si>
    <t>Бельгибаева Назира</t>
  </si>
  <si>
    <t>Гончарова Ольга</t>
  </si>
  <si>
    <t>Ибрагимова Мадина</t>
  </si>
  <si>
    <t>Исмаилов Ержан</t>
  </si>
  <si>
    <t>Кенжегалиева Болжан</t>
  </si>
  <si>
    <t>Кнауб Светлана</t>
  </si>
  <si>
    <t>Кожахметова Айжан</t>
  </si>
  <si>
    <t>Кочергина Мария</t>
  </si>
  <si>
    <t>Кудабаева Назира</t>
  </si>
  <si>
    <t>Кудышева Гульмира</t>
  </si>
  <si>
    <t>Кыдырбеккызы Эльмира</t>
  </si>
  <si>
    <t>Лакова Шынар</t>
  </si>
  <si>
    <t>Новикова Анжелика</t>
  </si>
  <si>
    <t>Нуртазина Каракат</t>
  </si>
  <si>
    <t>Овсянникова Мария</t>
  </si>
  <si>
    <t>Осипова Елена</t>
  </si>
  <si>
    <t>Праслов Владимир</t>
  </si>
  <si>
    <t>Смирнова Алена</t>
  </si>
  <si>
    <t>Телекутаева Раушан</t>
  </si>
  <si>
    <t>Хальченова Гульдарига</t>
  </si>
  <si>
    <t>Худякова Екатерина</t>
  </si>
  <si>
    <t>Шапорева Дария</t>
  </si>
  <si>
    <t>Шаронова Владилена</t>
  </si>
  <si>
    <t>Шульга Татьяна</t>
  </si>
  <si>
    <t>Группа ЛД 210</t>
  </si>
  <si>
    <t>Советбеков Фархат Айдынұлы</t>
  </si>
  <si>
    <t>Мұхаметкәрімов Арман Ерболұлы</t>
  </si>
  <si>
    <t>Мұхаметқалиев Алмас Қанатұлы</t>
  </si>
  <si>
    <t>Тұқпатодаев Біржан Жүсіпбекұлы</t>
  </si>
  <si>
    <t>Мұхаметқалиев Диас Қанатұлы</t>
  </si>
  <si>
    <t>Мусақанова Жұлдыз Ерболатқызы</t>
  </si>
  <si>
    <t>Бақытұлы Есболат</t>
  </si>
  <si>
    <t>Доненбаев Нартай Аликович</t>
  </si>
  <si>
    <t>Мұрат Әлішер Қуанышұлы</t>
  </si>
  <si>
    <t>Арманов Бауыржан Арманұлы</t>
  </si>
  <si>
    <t>Алпысов Әділет Нұржанұлы</t>
  </si>
  <si>
    <t>Токенова Гульвира Руслановна</t>
  </si>
  <si>
    <t>Ерболатов Ерасыл Ерболатұлы</t>
  </si>
  <si>
    <t>Мухаметзаки Диас Ерланұлы</t>
  </si>
  <si>
    <t>Абышева Ботагоз Болатқызы</t>
  </si>
  <si>
    <t>Тлеудинова Әйкерім Темірғалиқызы</t>
  </si>
  <si>
    <t>Сейтенов Талант Ерланұлы</t>
  </si>
  <si>
    <t>Табарақ Рахат Райқанұлы</t>
  </si>
  <si>
    <t>Қуанышов Жақсылық Қуанышұлы</t>
  </si>
  <si>
    <t>Жанболатұлы Әлішер</t>
  </si>
  <si>
    <t>Қаленова Қырмызы Асылбекқызы</t>
  </si>
  <si>
    <t xml:space="preserve">Абайханова Балғын Бейбітқызы </t>
  </si>
  <si>
    <t>Бақытбекова Мақпал Бақытбекқызы</t>
  </si>
  <si>
    <t>Лукпанова Айдана Асылгазиевна</t>
  </si>
  <si>
    <t>Группа ЛД211</t>
  </si>
  <si>
    <t>Беспоясова Валерия Александровна</t>
  </si>
  <si>
    <t>Бородина Карина Булатовна</t>
  </si>
  <si>
    <t>Бурнашова Анастасия Александровна</t>
  </si>
  <si>
    <t>Григорьева Юлия Ивановна</t>
  </si>
  <si>
    <t>Иманбаев Чингис Канатович</t>
  </si>
  <si>
    <t>Кәріпбаева Гүлнар Мұхаметбекқызы</t>
  </si>
  <si>
    <t>Кабидуллина Камила Сериковна</t>
  </si>
  <si>
    <t>Крепп Кирилл Валерьевич</t>
  </si>
  <si>
    <t>Мартынова Анастасия Владимировна</t>
  </si>
  <si>
    <t>Молчанова Екатерина Александровна</t>
  </si>
  <si>
    <t>Носырев Алексей Сергеевич</t>
  </si>
  <si>
    <t>Супесс Юлия Робертовна</t>
  </si>
  <si>
    <t>Умарова Татьяна Геннадьевна</t>
  </si>
  <si>
    <t>Чирова Ксения Викторовна</t>
  </si>
  <si>
    <t>Шилова Анастасия Витальевна</t>
  </si>
  <si>
    <t>Шимова Екатерина Александровна</t>
  </si>
  <si>
    <t>Шоргаева Таншолпан Айдосовна</t>
  </si>
  <si>
    <t>Эхнер Елена Алексеевна</t>
  </si>
  <si>
    <t>ЛД-306</t>
  </si>
  <si>
    <t>Алипанов Төлеби Қанатұлы</t>
  </si>
  <si>
    <t>Айтқазыев Азамат Асқарұлы</t>
  </si>
  <si>
    <t>Ақберова Тоғжан Ержанқызы</t>
  </si>
  <si>
    <t>Әбдразақова Альбина Оралқызы</t>
  </si>
  <si>
    <t>Бақтыбекова Нарғыз Әскербекқызы</t>
  </si>
  <si>
    <t>Баяхметова Жансая Жасұланқызы</t>
  </si>
  <si>
    <t>Бейсхан Алтынай Бейсханқызы</t>
  </si>
  <si>
    <t>Дәулетханқызы Балжан Дәулетханқызы</t>
  </si>
  <si>
    <t>Ерембеков Сағыныш Ерназарович</t>
  </si>
  <si>
    <t>Жолдасбекова Зарина Рысбекқызы</t>
  </si>
  <si>
    <t>Зарықбекова Гүлжанант Жанатқызы</t>
  </si>
  <si>
    <t>Қайпбергенқызы Динара</t>
  </si>
  <si>
    <t>Какимова Дана Талгатовна</t>
  </si>
  <si>
    <t>Көпжасов Нұрбол Серікқанұлы</t>
  </si>
  <si>
    <t>Қадылбекова Жанерке Дөрбетқанқызы</t>
  </si>
  <si>
    <t>Құмарбекова Мәдина Миратқызы</t>
  </si>
  <si>
    <t>Маратқызы Ақбота</t>
  </si>
  <si>
    <t>Мырзаханова Аянна Ерболқызы</t>
  </si>
  <si>
    <t>Өмірзақ Шұғыла Жанұзаққызы</t>
  </si>
  <si>
    <t>Рамазанова Аяулым Үсенқызы</t>
  </si>
  <si>
    <t>Оралбеков Ақжол Оралбекұлы</t>
  </si>
  <si>
    <t>Сәйбек Перизат Ерланқызы</t>
  </si>
  <si>
    <t>Серікбол Төлеу</t>
  </si>
  <si>
    <t>Сырымова Мадина Бауржанқызы</t>
  </si>
  <si>
    <t>Рысбеков Тілек Бауржанұлы</t>
  </si>
  <si>
    <t>Тоқтарова Зейнұр Мұратқанқызы</t>
  </si>
  <si>
    <t>Түсіпова Дина Кенжеханқызы</t>
  </si>
  <si>
    <t>Тұрсынбеков Шыңғыс Аблайұлы</t>
  </si>
  <si>
    <t>Куратор группы: Жашиков. Б.М</t>
  </si>
  <si>
    <t xml:space="preserve">Группа СД201   </t>
  </si>
  <si>
    <t>Абитова Назира Айдарбекқызы</t>
  </si>
  <si>
    <t>Айдынбекқызы Айдана</t>
  </si>
  <si>
    <t>Ақжолтаева Шынар Кабденовна</t>
  </si>
  <si>
    <t>Алатау Алтынай Алатауқызы</t>
  </si>
  <si>
    <t>Аманжолова Айбақыт Айбекқызы</t>
  </si>
  <si>
    <t xml:space="preserve">Амиров Бейимбет Ержанович </t>
  </si>
  <si>
    <t>Аубакиров Дарын Маратұлы</t>
  </si>
  <si>
    <t>Бердіханова Мөлдір Бахытбекқызы</t>
  </si>
  <si>
    <t>Дүйсенбек Дана Матайбекқызы</t>
  </si>
  <si>
    <t>Дүйсенбекова Құндыз Айдосқызы</t>
  </si>
  <si>
    <t>Есейқызы Айкен</t>
  </si>
  <si>
    <t>Жарқынқызы Рауа</t>
  </si>
  <si>
    <t>Жетпісбаев Әділ Жекенұлы</t>
  </si>
  <si>
    <t>Жұмабекова Наргиз Жұмабекқызы</t>
  </si>
  <si>
    <t>Зейнелғазы Гүлшат Ақылбекқызы</t>
  </si>
  <si>
    <t>Кәкітаева Аяжан Серікқызы</t>
  </si>
  <si>
    <t>Қасымова Ақнұр Қадыржанқызы</t>
  </si>
  <si>
    <t>Нәбиева Жансая Оралбекқызы</t>
  </si>
  <si>
    <t>Ниязбекова Жаныл Бакытбековна</t>
  </si>
  <si>
    <t>Нурабаева Дильназ Руфатовна</t>
  </si>
  <si>
    <t>Сләмбекова Айғаным Сләмбекқызы</t>
  </si>
  <si>
    <t>Слямбекова Шынар Төлегенқызы</t>
  </si>
  <si>
    <t>Толқынбекқызы Аружан</t>
  </si>
  <si>
    <t>Умержанов Дастан Ерланұлы</t>
  </si>
  <si>
    <t>Шаймерденова Аружан Қайратқызы</t>
  </si>
  <si>
    <t>СД-202</t>
  </si>
  <si>
    <t>Амантай0ызы Назым</t>
  </si>
  <si>
    <t>Ақылбекова Аяужан</t>
  </si>
  <si>
    <t>Абышева Қарагөз</t>
  </si>
  <si>
    <t>Арманова Айдана</t>
  </si>
  <si>
    <t>Әшімқанов Алмас</t>
  </si>
  <si>
    <t>Әкімият Жұпар</t>
  </si>
  <si>
    <t>Бақдәулетова Гауһар</t>
  </si>
  <si>
    <t>Бейсенбаева Аяужан</t>
  </si>
  <si>
    <t>Ғазизова Зарина</t>
  </si>
  <si>
    <t>Дәулетова Қымбат</t>
  </si>
  <si>
    <t>Есентаева Айым</t>
  </si>
  <si>
    <t>Еркінұлы Әділет</t>
  </si>
  <si>
    <t>Қызылова Мөлдір</t>
  </si>
  <si>
    <t>Маратова Айна</t>
  </si>
  <si>
    <t>Маратқызы Айшат</t>
  </si>
  <si>
    <t>Мұхамедқажина Гүлбаршын</t>
  </si>
  <si>
    <t>Мейрамбекова Сағыныш</t>
  </si>
  <si>
    <t>Оралханова Жаннұр</t>
  </si>
  <si>
    <t>Орысбекұлы Есен</t>
  </si>
  <si>
    <t>Орынбекова Ділназ</t>
  </si>
  <si>
    <t>Өзбек Талшын</t>
  </si>
  <si>
    <t>Советханова Дана</t>
  </si>
  <si>
    <t>Сарылханова Аяулым</t>
  </si>
  <si>
    <t>Серікбекқызы Мөлдір</t>
  </si>
  <si>
    <t>Шайхина Жансая</t>
  </si>
  <si>
    <t>Алымбекова С.Б</t>
  </si>
  <si>
    <t>СД 203</t>
  </si>
  <si>
    <t>Акинских Анастасия</t>
  </si>
  <si>
    <t>Афанасьева Любовь</t>
  </si>
  <si>
    <t>Беляева Ирина</t>
  </si>
  <si>
    <t>Демешова Динара</t>
  </si>
  <si>
    <t>Дручинина Евгения</t>
  </si>
  <si>
    <t>Егеубаева Амина</t>
  </si>
  <si>
    <t>Ернарова Дана</t>
  </si>
  <si>
    <t>Жумаканова Айсауле</t>
  </si>
  <si>
    <t>Круг Кристина</t>
  </si>
  <si>
    <t>Кужумова Любовь</t>
  </si>
  <si>
    <t>Лазутина Дарья</t>
  </si>
  <si>
    <t>Малышкина Дарья</t>
  </si>
  <si>
    <t>Моцола Ирина</t>
  </si>
  <si>
    <t>Михайличенко Анастасия</t>
  </si>
  <si>
    <t>Новикова Эвелина</t>
  </si>
  <si>
    <t>Пальгунова Анастасия</t>
  </si>
  <si>
    <t>Пономорева Анастасия</t>
  </si>
  <si>
    <t>Серохвостов Никита</t>
  </si>
  <si>
    <t>Сидашкина Ольга</t>
  </si>
  <si>
    <t>Скакова Айдана</t>
  </si>
  <si>
    <t>Тагаева Альмира</t>
  </si>
  <si>
    <t>Таймасова Екатерина</t>
  </si>
  <si>
    <t>Устинова Валерия</t>
  </si>
  <si>
    <t>Шевцова Алина</t>
  </si>
  <si>
    <t>Группа СД 204</t>
  </si>
  <si>
    <t>Айтқалиева Балжан</t>
  </si>
  <si>
    <t>Акаева Наргиз</t>
  </si>
  <si>
    <t>Акатаева Дильназ</t>
  </si>
  <si>
    <t>Амерханова Надира</t>
  </si>
  <si>
    <t>Асанәліқызы Айым</t>
  </si>
  <si>
    <t>Асгат Күннұр</t>
  </si>
  <si>
    <t>Әділәнбекова Саяжан</t>
  </si>
  <si>
    <t>Болоспекова Сая</t>
  </si>
  <si>
    <t>Дакен Ахерке</t>
  </si>
  <si>
    <t>Даулетхан Ұлпан</t>
  </si>
  <si>
    <t>Ерланқызы Аружан</t>
  </si>
  <si>
    <t>Ермекова Мадина</t>
  </si>
  <si>
    <t>Жасымханова Аружан</t>
  </si>
  <si>
    <t>Жунуспаев Айдос</t>
  </si>
  <si>
    <t>Қалибеков Мирас</t>
  </si>
  <si>
    <t>Қалибаева Назерке</t>
  </si>
  <si>
    <t>Қайырғожа Іңкәр</t>
  </si>
  <si>
    <t>Мұратқанов Расул</t>
  </si>
  <si>
    <t>Нүсіпбек Меруерт</t>
  </si>
  <si>
    <t>Оспанова Аружан</t>
  </si>
  <si>
    <t>Советбекова Анель</t>
  </si>
  <si>
    <t>Төлеуханов Айзат</t>
  </si>
  <si>
    <t xml:space="preserve">                                 </t>
  </si>
  <si>
    <t>Токтаргазынова Назым</t>
  </si>
  <si>
    <t>Умитбай Алуа</t>
  </si>
  <si>
    <t>ГРУППА СД-205</t>
  </si>
  <si>
    <t>Абайгельдинова Айнур Боранбайқыз</t>
  </si>
  <si>
    <t>Абсаламова Алтынгуль Курмангалиевна</t>
  </si>
  <si>
    <t xml:space="preserve">Айкенова Жанаргул Елеуханова </t>
  </si>
  <si>
    <t>Айткалиева Еркеназ Серікқызы</t>
  </si>
  <si>
    <t>Аубакирова Арай Ануарбековна</t>
  </si>
  <si>
    <t>Аубакирова Назигуль Курмашевна</t>
  </si>
  <si>
    <t>Ахметова Арайлым Даниярқызы</t>
  </si>
  <si>
    <t xml:space="preserve">Балашова Наталья Владиславовна </t>
  </si>
  <si>
    <t xml:space="preserve">Балыкова Ботагөз Бизамековна </t>
  </si>
  <si>
    <t xml:space="preserve">Головизина Наталья Николаевна </t>
  </si>
  <si>
    <t>Гребенникова Антонина РФ</t>
  </si>
  <si>
    <t>Дементьева Елена Николаевна</t>
  </si>
  <si>
    <t>Загаина Ольга Михайловна</t>
  </si>
  <si>
    <t>Ибрайханов Еркебұлан Сайлаубекұлы</t>
  </si>
  <si>
    <t>Каирбаева Айгуль Бердыбековна</t>
  </si>
  <si>
    <t>Касымжан Раушан Ермуратовна</t>
  </si>
  <si>
    <t>Кумарбекова Арайлым Бағланқызы</t>
  </si>
  <si>
    <t>Құдайбергенова Айгерім Серікқызы</t>
  </si>
  <si>
    <t>Муйетова Айнур Амангелдиновна</t>
  </si>
  <si>
    <t>Нургалиева Майнур Советовна</t>
  </si>
  <si>
    <t>Нурпеисова Жанат Қайдаровна</t>
  </si>
  <si>
    <t>Омарова Жансая Кадирбековна</t>
  </si>
  <si>
    <t>Өмірбекова Айзат Тәкенқызы</t>
  </si>
  <si>
    <t>Рахметова Алия Изақызы</t>
  </si>
  <si>
    <t xml:space="preserve">Самороков Евгений Владимирович </t>
  </si>
  <si>
    <t xml:space="preserve">Сарчаева Арай Мухаметкалиевна </t>
  </si>
  <si>
    <t xml:space="preserve">Саттыбаева Гульшат Советкаримова </t>
  </si>
  <si>
    <t xml:space="preserve">Таранухина Ольга Николаевна </t>
  </si>
  <si>
    <t>Чеботкова Юлия Александровна</t>
  </si>
  <si>
    <t>Чеканова Елена Николаевна</t>
  </si>
  <si>
    <t>Руководитель группы:                    М.М. Косамбекова</t>
  </si>
  <si>
    <t>Группа CД 301</t>
  </si>
  <si>
    <t xml:space="preserve">Абдуғалиева Назерке </t>
  </si>
  <si>
    <t xml:space="preserve">Алтынбекова Ақмарал </t>
  </si>
  <si>
    <t>Арманқызы Аружан</t>
  </si>
  <si>
    <t xml:space="preserve">Бельдеубаева Аяулым </t>
  </si>
  <si>
    <t xml:space="preserve">Ерембекова Назым </t>
  </si>
  <si>
    <t xml:space="preserve">Ерікова Айым </t>
  </si>
  <si>
    <t xml:space="preserve">Әділбекқызы Балжан </t>
  </si>
  <si>
    <t>Әлібекова Жәниә Айдынқызы</t>
  </si>
  <si>
    <t xml:space="preserve">Жиындинова Әсел </t>
  </si>
  <si>
    <t xml:space="preserve">Кеңесбекова Әйгерім </t>
  </si>
  <si>
    <t xml:space="preserve">Курманбаева Жанар </t>
  </si>
  <si>
    <t xml:space="preserve">Кутушева Алимаш </t>
  </si>
  <si>
    <t xml:space="preserve">Қабдырғалиева Әсел </t>
  </si>
  <si>
    <t xml:space="preserve">Отанова Балжан </t>
  </si>
  <si>
    <t xml:space="preserve">Сабекова Ақерке </t>
  </si>
  <si>
    <t xml:space="preserve">Сейтбекова Іңкәр </t>
  </si>
  <si>
    <t xml:space="preserve">Серғазина Құндыз  </t>
  </si>
  <si>
    <t xml:space="preserve">Токанаев Ербол </t>
  </si>
  <si>
    <t xml:space="preserve">Төлеуханова Әйгерім </t>
  </si>
  <si>
    <t xml:space="preserve">Турусбекова Арайлым </t>
  </si>
  <si>
    <t xml:space="preserve">Хуандаг Ақлима </t>
  </si>
  <si>
    <t>Шағанова Айзере</t>
  </si>
  <si>
    <t xml:space="preserve">Шаймарданов Бекарыс </t>
  </si>
  <si>
    <t>Ынтымақ Қарлығаш</t>
  </si>
  <si>
    <t>ГРУППА СД 302</t>
  </si>
  <si>
    <t>итог по оценкам</t>
  </si>
  <si>
    <t>Ансаған Ақмарал</t>
  </si>
  <si>
    <t>Асембай Гулжауһар</t>
  </si>
  <si>
    <t>Ауғанбай Еркегүл</t>
  </si>
  <si>
    <t>Балабаева Гульзада</t>
  </si>
  <si>
    <t>Бекенов Асет</t>
  </si>
  <si>
    <t>Болатжанқызы Шынар</t>
  </si>
  <si>
    <t>Жакипова Ақмарал</t>
  </si>
  <si>
    <t>Камелханова Айгерим</t>
  </si>
  <si>
    <t>Қасымқанова Шуақ</t>
  </si>
  <si>
    <t>Қинаятбекова Қарақат</t>
  </si>
  <si>
    <t>Құрманғалиева Алтынай</t>
  </si>
  <si>
    <t>Мәнәпова Маржан</t>
  </si>
  <si>
    <t>Мақманова Маржан</t>
  </si>
  <si>
    <t>Маъмурханова Нодира</t>
  </si>
  <si>
    <t>Мұратова Сезім</t>
  </si>
  <si>
    <t>Мұқтарханова Анель</t>
  </si>
  <si>
    <t>Нұрланова Айым</t>
  </si>
  <si>
    <t>Нұрланова Айзада</t>
  </si>
  <si>
    <t>Октябрь Жанерке</t>
  </si>
  <si>
    <t>Куратор: Амиренова Э.К.</t>
  </si>
  <si>
    <t>ГРУППА СД-303</t>
  </si>
  <si>
    <t>Пропуски по неуважительной причине</t>
  </si>
  <si>
    <t>Участие в спортивных мероприятиях за сборную колледжа</t>
  </si>
  <si>
    <t>Неаттестован по одному предмету</t>
  </si>
  <si>
    <t>Участие в культурнро-массовом мероприятиях</t>
  </si>
  <si>
    <t>Арманқызы Дина</t>
  </si>
  <si>
    <t>Әділқан Мерей</t>
  </si>
  <si>
    <t xml:space="preserve">Базылқанов Нұрсұлтан </t>
  </si>
  <si>
    <t xml:space="preserve">Барышникова Карина </t>
  </si>
  <si>
    <t xml:space="preserve">Башкирова Карина </t>
  </si>
  <si>
    <t>Гуленкова Галина</t>
  </si>
  <si>
    <t xml:space="preserve">Ибраева Мадина </t>
  </si>
  <si>
    <t xml:space="preserve">Кинас Екатерина </t>
  </si>
  <si>
    <t>Қабдуашева Ақжан</t>
  </si>
  <si>
    <t>Қаһарманова Жансая</t>
  </si>
  <si>
    <t xml:space="preserve">Құмарағалиева Әнел </t>
  </si>
  <si>
    <t xml:space="preserve">Маркленова Дильназ </t>
  </si>
  <si>
    <t xml:space="preserve">Мирхатов Рахат </t>
  </si>
  <si>
    <t xml:space="preserve">Михайлова Александра </t>
  </si>
  <si>
    <t xml:space="preserve">Никитина Светлана </t>
  </si>
  <si>
    <t xml:space="preserve">Новикова Александра </t>
  </si>
  <si>
    <t xml:space="preserve">Палагина Ольга </t>
  </si>
  <si>
    <t xml:space="preserve">Пиунова Анастасия </t>
  </si>
  <si>
    <t xml:space="preserve">Плаксицкая Олеся </t>
  </si>
  <si>
    <t>Рақышев Медет</t>
  </si>
  <si>
    <t>Сагидолда Карина</t>
  </si>
  <si>
    <t xml:space="preserve">Сапига Елена </t>
  </si>
  <si>
    <t xml:space="preserve">Сейітова Толғанай </t>
  </si>
  <si>
    <t xml:space="preserve">Токарева Мария </t>
  </si>
  <si>
    <t xml:space="preserve">Турдубаева Наргиз </t>
  </si>
  <si>
    <t xml:space="preserve">Тұрұсбеков Нұрболсын </t>
  </si>
  <si>
    <t xml:space="preserve">Фокина Диана Андреевна </t>
  </si>
  <si>
    <t xml:space="preserve">Худолеева Ирина Андреевна </t>
  </si>
  <si>
    <t xml:space="preserve">Цейс Яна Олеговна </t>
  </si>
  <si>
    <t xml:space="preserve">Цыганенко Виктория </t>
  </si>
  <si>
    <t xml:space="preserve">Руководитель группы: </t>
  </si>
  <si>
    <t>Кумаров К.М. __________</t>
  </si>
  <si>
    <t>МІ 401</t>
  </si>
  <si>
    <t>оценка "5"</t>
  </si>
  <si>
    <t>оценка "4"</t>
  </si>
  <si>
    <t>оценка "3"</t>
  </si>
  <si>
    <t>оценка "2"</t>
  </si>
  <si>
    <t>не аттестован по одному предмету</t>
  </si>
  <si>
    <t>участие в научно-исследовательской работе</t>
  </si>
  <si>
    <t>участие в культурно -массовом мероприятиях</t>
  </si>
  <si>
    <t>участие в студенческом самоправлнии</t>
  </si>
  <si>
    <t xml:space="preserve">Соблюдение правил внутренного распорядка </t>
  </si>
  <si>
    <t>Участие в работе в отряде содействия полиции за колледжа</t>
  </si>
  <si>
    <t>Участие впоходах, экскурсиях, посещение театров</t>
  </si>
  <si>
    <t>Участие во флешмобах</t>
  </si>
  <si>
    <t>ИТОГ: 16199</t>
  </si>
  <si>
    <t>Ағзамова А.С</t>
  </si>
  <si>
    <t>Айылбаев С.Т</t>
  </si>
  <si>
    <t>Амангалиев Н.А</t>
  </si>
  <si>
    <t>Аринова М.Ж</t>
  </si>
  <si>
    <t>Байсаитова М.Р</t>
  </si>
  <si>
    <t>Бату Н.Е</t>
  </si>
  <si>
    <t>Бөтеген Ш.С</t>
  </si>
  <si>
    <t>Ермекова А.Б.</t>
  </si>
  <si>
    <t>Жақсыбаева Г.С.</t>
  </si>
  <si>
    <t>Жұмағалиев А.Ж</t>
  </si>
  <si>
    <t>Қабденова А.М</t>
  </si>
  <si>
    <t>Қаблашимова Б.Қ</t>
  </si>
  <si>
    <t>Қайырбек Ү.М</t>
  </si>
  <si>
    <t>Қалышева А.Н</t>
  </si>
  <si>
    <t>Құдайбергенов А.И</t>
  </si>
  <si>
    <t>Мәденханова Е.А</t>
  </si>
  <si>
    <t>Мұзбай Ж.</t>
  </si>
  <si>
    <t>Мухаметжанова Г.М</t>
  </si>
  <si>
    <t>Назыроллақызы А.</t>
  </si>
  <si>
    <t>Нурмұхамбетова М.С</t>
  </si>
  <si>
    <t>Нұрболатова А.Н</t>
  </si>
  <si>
    <t>Ризабекова Б.А</t>
  </si>
  <si>
    <t>Рымбек А.Е</t>
  </si>
  <si>
    <t>Сандалханқызы Н</t>
  </si>
  <si>
    <t>Сәбетқанова С.М</t>
  </si>
  <si>
    <t>Төлеуханова А.К</t>
  </si>
  <si>
    <t>Итог:</t>
  </si>
  <si>
    <t>СД 401</t>
  </si>
  <si>
    <t>СД 402</t>
  </si>
  <si>
    <t xml:space="preserve">Ахметкалиева Гульназ </t>
  </si>
  <si>
    <t>Әкиянова Аңсаған</t>
  </si>
  <si>
    <t>Базаргельдина Назым</t>
  </si>
  <si>
    <t>Бекболатқызы Аида</t>
  </si>
  <si>
    <t>Бөкейханова Аяжан</t>
  </si>
  <si>
    <t>Дәуітбекова Ақмарал</t>
  </si>
  <si>
    <t>Дикеш Дана</t>
  </si>
  <si>
    <t>Ережеп Назгүл</t>
  </si>
  <si>
    <t>Жумагалиева Гүлім</t>
  </si>
  <si>
    <t>Зарықбаева Айгерім</t>
  </si>
  <si>
    <t>Исабекова Айнур</t>
  </si>
  <si>
    <t>Қалиолданова Лунара</t>
  </si>
  <si>
    <t>Кутлымуратова Мухаббат</t>
  </si>
  <si>
    <t xml:space="preserve">Қабдрахманов Жарқын </t>
  </si>
  <si>
    <t>Қалиасқаров Әлішер</t>
  </si>
  <si>
    <t>Қалыкенова Айдана</t>
  </si>
  <si>
    <t>Қастаева Салтанат</t>
  </si>
  <si>
    <t>Макенова Риза</t>
  </si>
  <si>
    <t>Мусабаев Сырым</t>
  </si>
  <si>
    <t>Мырзекеева Шырайлым</t>
  </si>
  <si>
    <t>Отарбаева Жансая</t>
  </si>
  <si>
    <t>Өтегенова Маржан</t>
  </si>
  <si>
    <t>Сәулебек Нұрбатима</t>
  </si>
  <si>
    <t>Тоқтарханова Айгерим</t>
  </si>
  <si>
    <t>Туражанова Арай</t>
  </si>
  <si>
    <t xml:space="preserve">  </t>
  </si>
  <si>
    <t>СД 403</t>
  </si>
  <si>
    <t>Акентьева Ольга Петровна</t>
  </si>
  <si>
    <t>Әбуғалиев Руслан Серікұлы</t>
  </si>
  <si>
    <t>Булыгина София Александровна</t>
  </si>
  <si>
    <t>Дауленова Шолпан Нурланқызы</t>
  </si>
  <si>
    <t>Долгорева Раиса Ивановна</t>
  </si>
  <si>
    <t>Жұмағалиева Мөлдір Қалыкпекқызы</t>
  </si>
  <si>
    <t>Касенов Саят Муслимович</t>
  </si>
  <si>
    <t>Касканова Азиза Муратовна</t>
  </si>
  <si>
    <t>Кодубенко Алена Владимировна</t>
  </si>
  <si>
    <t>Коротина Кристина Дмитриевна</t>
  </si>
  <si>
    <t>Краскова Екатерина Николаевна</t>
  </si>
  <si>
    <t>Кубентаева Куралай Малихановна</t>
  </si>
  <si>
    <t>Кусаинова Мадина Сериковна</t>
  </si>
  <si>
    <t>Кусумова Динара Аскаровна</t>
  </si>
  <si>
    <t>Қазбекова Жанель Алтынбекқызы</t>
  </si>
  <si>
    <t>Қамзаева Жансая Мырзабекқызы</t>
  </si>
  <si>
    <t>Мещерякова Ирина Олеговна</t>
  </si>
  <si>
    <t>Мусина Найля Александровна</t>
  </si>
  <si>
    <t>Недбайло Юлия Владимировна</t>
  </si>
  <si>
    <t>Проскурина Марина Николаевна</t>
  </si>
  <si>
    <t>Рыбалова Анастасия Романовна</t>
  </si>
  <si>
    <t>Скуратова Ирина Николаевна</t>
  </si>
  <si>
    <t>Телегина Светлана Александровна</t>
  </si>
  <si>
    <t>Шутабаева Таир Аргынгазынович</t>
  </si>
  <si>
    <t>Куратор: Шегетаева З.З.</t>
  </si>
  <si>
    <t>группа МІ - 404</t>
  </si>
  <si>
    <t>Абенова Алия</t>
  </si>
  <si>
    <t>Айтұғанова Толқын</t>
  </si>
  <si>
    <t>Батырқанова Аида</t>
  </si>
  <si>
    <t>Есенкелдиева Аружан</t>
  </si>
  <si>
    <t>Жексенова Диана</t>
  </si>
  <si>
    <t>Жәнібекова Айгерім</t>
  </si>
  <si>
    <t>Жолдыбаева Аяулым</t>
  </si>
  <si>
    <t>Жұмағалиева Мархабат</t>
  </si>
  <si>
    <t>Каденова Гаухар</t>
  </si>
  <si>
    <t>Қажыбай Инабат</t>
  </si>
  <si>
    <t>Каримова Назым</t>
  </si>
  <si>
    <t>Кәкеш Алмагүл</t>
  </si>
  <si>
    <t>Қаниғұмарова Гүлзат</t>
  </si>
  <si>
    <t>Мәуітханова Жанерке</t>
  </si>
  <si>
    <t>Муратова Талшын</t>
  </si>
  <si>
    <t>Мұхаметаминова Салтанат</t>
  </si>
  <si>
    <t>Мырзаханова Айым</t>
  </si>
  <si>
    <t>Оралханова Мадина</t>
  </si>
  <si>
    <t>Сабырбекова Аида</t>
  </si>
  <si>
    <t>Сайлауқанова Шырын</t>
  </si>
  <si>
    <t>Саянова Жанерке</t>
  </si>
  <si>
    <t>Серікова Айнұр</t>
  </si>
  <si>
    <t>Тілеуханова Ақерке</t>
  </si>
  <si>
    <t>Серікова Мадина</t>
  </si>
  <si>
    <t>Урустимова Дана</t>
  </si>
  <si>
    <t>Чәкенова Аружан</t>
  </si>
  <si>
    <t>группа Фарм - 114</t>
  </si>
  <si>
    <t>Адиков А.О.</t>
  </si>
  <si>
    <t>Безрукова Я.В.</t>
  </si>
  <si>
    <t>Костубаева Д.Б.</t>
  </si>
  <si>
    <t>Кельдинова К.Ю.</t>
  </si>
  <si>
    <t>Қуанбекұлы Т.</t>
  </si>
  <si>
    <t>Молдобаева А.Ш.</t>
  </si>
  <si>
    <t>Нурахметова Е.Е.</t>
  </si>
  <si>
    <t>Союзбек кызы З.</t>
  </si>
  <si>
    <t>Хайдукова А.</t>
  </si>
  <si>
    <t>Группа Фарм 115</t>
  </si>
  <si>
    <t xml:space="preserve">Андреева Амина Андреевна </t>
  </si>
  <si>
    <t xml:space="preserve">Афанасьева Анна Ивановна </t>
  </si>
  <si>
    <t xml:space="preserve">Ахмирова Карина Маратовна </t>
  </si>
  <si>
    <t xml:space="preserve">Баженова Валерия Викторовна </t>
  </si>
  <si>
    <t>Блинова Дарья Александровна</t>
  </si>
  <si>
    <t>Васильева Виолетта Антоновна</t>
  </si>
  <si>
    <t xml:space="preserve">Громогласова Яна Александровна </t>
  </si>
  <si>
    <t>Иванова Юлия Игоревна</t>
  </si>
  <si>
    <t>Ильясов Дастан Болатулы</t>
  </si>
  <si>
    <t xml:space="preserve">Колесова Элина Олеговна </t>
  </si>
  <si>
    <t>Кречетова Ирина Витальевна</t>
  </si>
  <si>
    <t xml:space="preserve">Круль Дарья Дмитриевна </t>
  </si>
  <si>
    <t>Курашева Кристина Андреевна</t>
  </si>
  <si>
    <t>Летов Иван Александрович</t>
  </si>
  <si>
    <t>Наам Ирина Петровна</t>
  </si>
  <si>
    <t xml:space="preserve">Парамонова Анастасия Денисовна </t>
  </si>
  <si>
    <t>Полтавец Алина Евгеньевна</t>
  </si>
  <si>
    <t>Симонова Кристина Борисовна</t>
  </si>
  <si>
    <t xml:space="preserve">Сычевая Кристина Романовна </t>
  </si>
  <si>
    <t>Фархатқызы Адель</t>
  </si>
  <si>
    <t xml:space="preserve">Фомина Екатерина Дмитриевна </t>
  </si>
  <si>
    <t xml:space="preserve">Форофонтова Анастасия Романовна </t>
  </si>
  <si>
    <t>Шмидт Алена Викторовна</t>
  </si>
  <si>
    <t xml:space="preserve">Юнгис Виктория Владимировна </t>
  </si>
  <si>
    <t xml:space="preserve">Ермекова А.Е </t>
  </si>
  <si>
    <t xml:space="preserve">Группа Фарм 211     </t>
  </si>
  <si>
    <t xml:space="preserve">Андреева Юлия </t>
  </si>
  <si>
    <t>Аршинец Сергей</t>
  </si>
  <si>
    <t>Асқар Малика</t>
  </si>
  <si>
    <t>Асхатқызы Әдемі</t>
  </si>
  <si>
    <t xml:space="preserve">Байгазанова Гульдар </t>
  </si>
  <si>
    <t xml:space="preserve">Барышникова Виктория </t>
  </si>
  <si>
    <t>Головина Дарья</t>
  </si>
  <si>
    <t>Губанова Дарья</t>
  </si>
  <si>
    <t>Есейева Жансая</t>
  </si>
  <si>
    <t>Иванова Валентина</t>
  </si>
  <si>
    <t xml:space="preserve">Меновщикова Валерия </t>
  </si>
  <si>
    <t xml:space="preserve">Московченко Дарья </t>
  </si>
  <si>
    <t>Мужебаева Диана</t>
  </si>
  <si>
    <t xml:space="preserve">Мухаметова Венера </t>
  </si>
  <si>
    <t>Нургапьянова Анна</t>
  </si>
  <si>
    <t>Прокопенко Вера</t>
  </si>
  <si>
    <t xml:space="preserve">Ротенко Виктория </t>
  </si>
  <si>
    <t>Серікқызы Меруерт</t>
  </si>
  <si>
    <t xml:space="preserve">Табакаева Виктория </t>
  </si>
  <si>
    <t>Танцарова Үміт</t>
  </si>
  <si>
    <t xml:space="preserve">Фризен Дарья </t>
  </si>
  <si>
    <t>Шахова Вероника</t>
  </si>
  <si>
    <t>Шац Аделина</t>
  </si>
  <si>
    <t>Шушаникова Ирина</t>
  </si>
  <si>
    <t>Группа ФАРМ 216 (3 смена)</t>
  </si>
  <si>
    <t>Айболтинова Жаннар</t>
  </si>
  <si>
    <t xml:space="preserve">Ахметкабдылова Тоғжан </t>
  </si>
  <si>
    <t xml:space="preserve">Ахметова Ардақ </t>
  </si>
  <si>
    <t xml:space="preserve">Багдатова Гульмира </t>
  </si>
  <si>
    <t xml:space="preserve">Бакина Наталья </t>
  </si>
  <si>
    <t xml:space="preserve">Бахтина Елена </t>
  </si>
  <si>
    <t xml:space="preserve">Джанкулова Александра </t>
  </si>
  <si>
    <t xml:space="preserve">Жолданбаева Дильяра </t>
  </si>
  <si>
    <t xml:space="preserve">Канафина Раушан </t>
  </si>
  <si>
    <t xml:space="preserve">Касаинова Жанар </t>
  </si>
  <si>
    <t xml:space="preserve">Классова Арайлым </t>
  </si>
  <si>
    <t>Климова Евгения</t>
  </si>
  <si>
    <t xml:space="preserve">Курьянова Юлия </t>
  </si>
  <si>
    <t xml:space="preserve">Мукатова Назым </t>
  </si>
  <si>
    <t xml:space="preserve">Мурынбаева Светлана </t>
  </si>
  <si>
    <t xml:space="preserve">Попова Анастасия </t>
  </si>
  <si>
    <t xml:space="preserve">Тұрғамбаева Айнұр </t>
  </si>
  <si>
    <t xml:space="preserve">Чагиева Айсулу </t>
  </si>
  <si>
    <t>Фарм 310</t>
  </si>
  <si>
    <t>Айымханова Салима</t>
  </si>
  <si>
    <t>Аксёнова Вера</t>
  </si>
  <si>
    <t>Амангельдинов Амир</t>
  </si>
  <si>
    <t>Арымгужова Айдана</t>
  </si>
  <si>
    <t>Аубакирова Айгерим</t>
  </si>
  <si>
    <t>Аязбаева Камилла</t>
  </si>
  <si>
    <t>Бабина Анастасия</t>
  </si>
  <si>
    <t>Бату Гульзат</t>
  </si>
  <si>
    <t xml:space="preserve">Болотбаева Дарина </t>
  </si>
  <si>
    <t>Жекебаева Альбина</t>
  </si>
  <si>
    <t>Закурдаева Анна</t>
  </si>
  <si>
    <t>Ибдиминова Карина</t>
  </si>
  <si>
    <t xml:space="preserve">Ипатенко Андрей </t>
  </si>
  <si>
    <t>Исмаилова Карина</t>
  </si>
  <si>
    <t xml:space="preserve">Кайсарова Валентина </t>
  </si>
  <si>
    <t>Корнеева Диана</t>
  </si>
  <si>
    <t>Крюковская Дарья</t>
  </si>
  <si>
    <t>Миронова Дарья</t>
  </si>
  <si>
    <t>Мутагалиев Дархан</t>
  </si>
  <si>
    <t>Наконечная Татьяна</t>
  </si>
  <si>
    <t>Отческая Ольга</t>
  </si>
  <si>
    <t>Павлова Яна</t>
  </si>
  <si>
    <t>Серикова Алина</t>
  </si>
  <si>
    <t xml:space="preserve">Скоробогатько Ангелина </t>
  </si>
  <si>
    <t>Таганова Елена</t>
  </si>
  <si>
    <t>Урсаева Тогжан</t>
  </si>
  <si>
    <t>Ущалова Айгерим</t>
  </si>
  <si>
    <t>Федорова Анастасия</t>
  </si>
  <si>
    <t>Шмидт Екатерина</t>
  </si>
  <si>
    <t xml:space="preserve">Группа : Фарм 117 </t>
  </si>
  <si>
    <t xml:space="preserve">Альшанская Виктория Сергеевна </t>
  </si>
  <si>
    <t>Ведерникова Арина Сергеевна</t>
  </si>
  <si>
    <t>Головина Татьяна Сергеевна</t>
  </si>
  <si>
    <t>Дедова Наталья Романовна</t>
  </si>
  <si>
    <t>Каретина Валерия Александровна</t>
  </si>
  <si>
    <t>Кедун Яна Евгеньевна</t>
  </si>
  <si>
    <t>Косаченко Дарья Олеговна</t>
  </si>
  <si>
    <t>Курмангалиева Наргиз Темирлановна</t>
  </si>
  <si>
    <t xml:space="preserve">Морозова Татьяна Андреевна </t>
  </si>
  <si>
    <t>Макаренко Арина Викторовна</t>
  </si>
  <si>
    <t>Нұрсолтан Әсел Өмірзыққызы</t>
  </si>
  <si>
    <t>Пенигина Валерия Александровна</t>
  </si>
  <si>
    <t>Синельникова Варвара Александровна</t>
  </si>
  <si>
    <t xml:space="preserve">Семенихина Валерия Юрьевна </t>
  </si>
  <si>
    <t>группа Фарм - 212</t>
  </si>
  <si>
    <t>Абитова А.</t>
  </si>
  <si>
    <t xml:space="preserve">Айдарғазиева Н. </t>
  </si>
  <si>
    <t>Антипина Д.</t>
  </si>
  <si>
    <t xml:space="preserve">Антропова А. </t>
  </si>
  <si>
    <t xml:space="preserve">Буканова А. </t>
  </si>
  <si>
    <t xml:space="preserve">Воронкова Е. </t>
  </si>
  <si>
    <t xml:space="preserve">Двурекова Д. </t>
  </si>
  <si>
    <t xml:space="preserve">Дулейкина Д. </t>
  </si>
  <si>
    <t>Кеда В.</t>
  </si>
  <si>
    <t>Краснобородкина Е.</t>
  </si>
  <si>
    <t xml:space="preserve">Кажыбекова І. </t>
  </si>
  <si>
    <t>Лапицкая А.</t>
  </si>
  <si>
    <t>Плотникова А.</t>
  </si>
  <si>
    <t>Сизикова Е.</t>
  </si>
  <si>
    <t>Токбаева А.</t>
  </si>
  <si>
    <t>Троеглазова А.</t>
  </si>
  <si>
    <t>Уфимцева Е.</t>
  </si>
  <si>
    <t>Чужакина В.</t>
  </si>
  <si>
    <t>Шакиров К.</t>
  </si>
  <si>
    <t>Шароватова Н.</t>
  </si>
  <si>
    <t>Шестакова Я.</t>
  </si>
  <si>
    <t>группа Фарм - 313</t>
  </si>
  <si>
    <t>Айткалиева Асем Сериккалиевна</t>
  </si>
  <si>
    <t>Аубакирова Альфира Дуйсенбековна</t>
  </si>
  <si>
    <t>Ашмуханова Айнур Азырхановна</t>
  </si>
  <si>
    <t>Бошаева Руфина Сулеймановна</t>
  </si>
  <si>
    <t>Василюк Ольга Владимировна</t>
  </si>
  <si>
    <t>Гордеева Ольга Сергеевна</t>
  </si>
  <si>
    <t>Жумажанова Гульнара Калымбековна</t>
  </si>
  <si>
    <t xml:space="preserve">Зыкова Ксения Денисовна  </t>
  </si>
  <si>
    <t>Итикенова Айман Жумабековна</t>
  </si>
  <si>
    <t>Кожахметова Айзада Ерланкызы</t>
  </si>
  <si>
    <t>Коляда Марина Геннадьевна</t>
  </si>
  <si>
    <t>Кумарова Халида Назырхановна</t>
  </si>
  <si>
    <t>Литвиненко Галина Александровна</t>
  </si>
  <si>
    <t>Лихошерстова Наталья Сергеевна</t>
  </si>
  <si>
    <t>Наам Александра Андреевна</t>
  </si>
  <si>
    <t>Подойникова Алина Олеговна</t>
  </si>
  <si>
    <t>Рысжанова Ажар Серікқызы</t>
  </si>
  <si>
    <t>Уалиева Лязат Хажимуратовна</t>
  </si>
  <si>
    <t>Уразаева Индира Айдаровна</t>
  </si>
  <si>
    <t>ЛД 209</t>
  </si>
  <si>
    <t>итого по группе</t>
  </si>
  <si>
    <t>Оценка 4</t>
  </si>
  <si>
    <t>Оценка 3</t>
  </si>
  <si>
    <t>Оценка 2</t>
  </si>
  <si>
    <t>итог</t>
  </si>
  <si>
    <t>пропуски неуваж</t>
  </si>
  <si>
    <t>Олимп. Микра.</t>
  </si>
  <si>
    <t>Олимп. Истории</t>
  </si>
  <si>
    <t>История Конференция</t>
  </si>
  <si>
    <t>Конкурс Студентов</t>
  </si>
  <si>
    <t>Веселые Старты</t>
  </si>
  <si>
    <t>Таланты</t>
  </si>
  <si>
    <t>Ярмарка</t>
  </si>
  <si>
    <t>докладная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</si>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</sst>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17"/>
      <name val="Times New Roman"/>
      <family val="1"/>
    </font>
    <font>
      <sz val="9"/>
      <color indexed="8"/>
      <name val="Calibri"/>
      <family val="2"/>
    </font>
    <font>
      <sz val="8"/>
      <color indexed="9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Times New Roman"/>
      <family val="1"/>
    </font>
    <font>
      <sz val="8"/>
      <color rgb="FF000000"/>
      <name val="Calibri"/>
      <family val="0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sz val="9"/>
      <color rgb="FF00B05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rgb="FF000000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14"/>
      <color rgb="FF000000"/>
      <name val="Times New Roman"/>
      <family val="0"/>
    </font>
    <font>
      <b/>
      <sz val="8"/>
      <color rgb="FF000000"/>
      <name val="Times New Roman"/>
      <family val="0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4" borderId="11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64" fillId="32" borderId="10" xfId="0" applyFont="1" applyFill="1" applyBorder="1" applyAlignment="1">
      <alignment/>
    </xf>
    <xf numFmtId="0" fontId="64" fillId="0" borderId="11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vertical="center"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34" borderId="11" xfId="0" applyFont="1" applyFill="1" applyBorder="1" applyAlignment="1" applyProtection="1">
      <alignment/>
      <protection/>
    </xf>
    <xf numFmtId="0" fontId="64" fillId="0" borderId="11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65" fillId="0" borderId="11" xfId="0" applyFont="1" applyBorder="1" applyAlignment="1">
      <alignment/>
    </xf>
    <xf numFmtId="0" fontId="64" fillId="35" borderId="11" xfId="0" applyFont="1" applyFill="1" applyBorder="1" applyAlignment="1">
      <alignment/>
    </xf>
    <xf numFmtId="0" fontId="66" fillId="0" borderId="0" xfId="0" applyFont="1" applyAlignment="1">
      <alignment/>
    </xf>
    <xf numFmtId="0" fontId="65" fillId="35" borderId="11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0" xfId="0" applyFont="1" applyAlignment="1">
      <alignment/>
    </xf>
    <xf numFmtId="0" fontId="67" fillId="32" borderId="10" xfId="0" applyFont="1" applyFill="1" applyBorder="1" applyAlignment="1">
      <alignment/>
    </xf>
    <xf numFmtId="0" fontId="67" fillId="0" borderId="11" xfId="0" applyFont="1" applyBorder="1" applyAlignment="1">
      <alignment/>
    </xf>
    <xf numFmtId="0" fontId="11" fillId="0" borderId="11" xfId="52" applyFont="1" applyBorder="1" applyAlignment="1">
      <alignment vertical="center" wrapText="1"/>
      <protection/>
    </xf>
    <xf numFmtId="0" fontId="67" fillId="0" borderId="11" xfId="52" applyFont="1" applyBorder="1">
      <alignment/>
      <protection/>
    </xf>
    <xf numFmtId="0" fontId="67" fillId="0" borderId="11" xfId="0" applyFont="1" applyFill="1" applyBorder="1" applyAlignment="1">
      <alignment/>
    </xf>
    <xf numFmtId="0" fontId="68" fillId="0" borderId="11" xfId="0" applyFont="1" applyBorder="1" applyAlignment="1">
      <alignment/>
    </xf>
    <xf numFmtId="0" fontId="11" fillId="0" borderId="11" xfId="52" applyFont="1" applyFill="1" applyBorder="1" applyAlignment="1">
      <alignment vertical="center" wrapText="1"/>
      <protection/>
    </xf>
    <xf numFmtId="0" fontId="67" fillId="0" borderId="12" xfId="0" applyFont="1" applyBorder="1" applyAlignment="1">
      <alignment/>
    </xf>
    <xf numFmtId="0" fontId="11" fillId="0" borderId="13" xfId="52" applyFont="1" applyBorder="1" applyAlignment="1">
      <alignment vertical="center" wrapText="1"/>
      <protection/>
    </xf>
    <xf numFmtId="0" fontId="11" fillId="0" borderId="11" xfId="52" applyFont="1" applyBorder="1">
      <alignment/>
      <protection/>
    </xf>
    <xf numFmtId="0" fontId="69" fillId="0" borderId="0" xfId="0" applyFont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36" borderId="15" xfId="0" applyFont="1" applyFill="1" applyBorder="1" applyAlignment="1">
      <alignment vertical="top" wrapText="1"/>
    </xf>
    <xf numFmtId="0" fontId="64" fillId="36" borderId="11" xfId="0" applyFont="1" applyFill="1" applyBorder="1" applyAlignment="1">
      <alignment/>
    </xf>
    <xf numFmtId="0" fontId="64" fillId="0" borderId="11" xfId="0" applyFont="1" applyBorder="1" applyAlignment="1">
      <alignment horizontal="left"/>
    </xf>
    <xf numFmtId="0" fontId="64" fillId="36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64" fillId="34" borderId="11" xfId="0" applyNumberFormat="1" applyFont="1" applyFill="1" applyBorder="1" applyAlignment="1" applyProtection="1">
      <alignment/>
      <protection/>
    </xf>
    <xf numFmtId="0" fontId="11" fillId="35" borderId="15" xfId="0" applyFont="1" applyFill="1" applyBorder="1" applyAlignment="1">
      <alignment vertical="top" wrapText="1"/>
    </xf>
    <xf numFmtId="0" fontId="66" fillId="0" borderId="16" xfId="0" applyFont="1" applyBorder="1" applyAlignment="1">
      <alignment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66" fillId="37" borderId="16" xfId="0" applyFont="1" applyFill="1" applyBorder="1" applyAlignment="1">
      <alignment/>
    </xf>
    <xf numFmtId="0" fontId="66" fillId="0" borderId="17" xfId="0" applyFont="1" applyBorder="1" applyAlignment="1">
      <alignment horizontal="center" vertical="center" textRotation="90" wrapText="1"/>
    </xf>
    <xf numFmtId="0" fontId="71" fillId="0" borderId="17" xfId="0" applyFont="1" applyBorder="1" applyAlignment="1">
      <alignment vertical="center"/>
    </xf>
    <xf numFmtId="0" fontId="66" fillId="0" borderId="17" xfId="0" applyFont="1" applyBorder="1" applyAlignment="1">
      <alignment/>
    </xf>
    <xf numFmtId="0" fontId="66" fillId="38" borderId="17" xfId="0" applyFont="1" applyFill="1" applyBorder="1" applyAlignment="1">
      <alignment/>
    </xf>
    <xf numFmtId="0" fontId="71" fillId="38" borderId="17" xfId="0" applyFont="1" applyFill="1" applyBorder="1" applyAlignment="1">
      <alignment/>
    </xf>
    <xf numFmtId="0" fontId="71" fillId="0" borderId="17" xfId="0" applyFont="1" applyBorder="1" applyAlignment="1">
      <alignment/>
    </xf>
    <xf numFmtId="0" fontId="66" fillId="39" borderId="17" xfId="0" applyFont="1" applyFill="1" applyBorder="1" applyAlignment="1">
      <alignment/>
    </xf>
    <xf numFmtId="0" fontId="71" fillId="39" borderId="17" xfId="0" applyFont="1" applyFill="1" applyBorder="1" applyAlignment="1">
      <alignment/>
    </xf>
    <xf numFmtId="0" fontId="67" fillId="0" borderId="18" xfId="0" applyFont="1" applyBorder="1" applyAlignment="1">
      <alignment vertical="top" wrapText="1"/>
    </xf>
    <xf numFmtId="0" fontId="67" fillId="0" borderId="19" xfId="0" applyFont="1" applyBorder="1" applyAlignment="1">
      <alignment vertical="top" wrapText="1"/>
    </xf>
    <xf numFmtId="0" fontId="66" fillId="0" borderId="18" xfId="0" applyFont="1" applyBorder="1" applyAlignment="1">
      <alignment wrapText="1"/>
    </xf>
    <xf numFmtId="0" fontId="66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55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32" borderId="10" xfId="0" applyFont="1" applyFill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72" fillId="0" borderId="11" xfId="0" applyFont="1" applyBorder="1" applyAlignment="1">
      <alignment vertical="top" wrapText="1"/>
    </xf>
    <xf numFmtId="0" fontId="64" fillId="0" borderId="2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34" borderId="11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4" fillId="36" borderId="20" xfId="0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2" fillId="0" borderId="11" xfId="0" applyFont="1" applyFill="1" applyBorder="1" applyAlignment="1">
      <alignment vertical="top" wrapText="1"/>
    </xf>
    <xf numFmtId="0" fontId="64" fillId="0" borderId="21" xfId="0" applyFont="1" applyFill="1" applyBorder="1" applyAlignment="1">
      <alignment horizontal="center"/>
    </xf>
    <xf numFmtId="0" fontId="72" fillId="0" borderId="11" xfId="0" applyFont="1" applyBorder="1" applyAlignment="1">
      <alignment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2" fillId="0" borderId="0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4" fillId="40" borderId="13" xfId="0" applyFont="1" applyFill="1" applyBorder="1" applyAlignment="1" applyProtection="1">
      <alignment/>
      <protection/>
    </xf>
    <xf numFmtId="0" fontId="65" fillId="0" borderId="13" xfId="0" applyFont="1" applyFill="1" applyBorder="1" applyAlignment="1">
      <alignment/>
    </xf>
    <xf numFmtId="0" fontId="65" fillId="40" borderId="13" xfId="0" applyFont="1" applyFill="1" applyBorder="1" applyAlignment="1">
      <alignment/>
    </xf>
    <xf numFmtId="0" fontId="6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72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6" fillId="0" borderId="11" xfId="0" applyFont="1" applyBorder="1" applyAlignment="1">
      <alignment/>
    </xf>
    <xf numFmtId="0" fontId="64" fillId="34" borderId="13" xfId="0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0" fontId="72" fillId="36" borderId="11" xfId="0" applyFont="1" applyFill="1" applyBorder="1" applyAlignment="1">
      <alignment horizontal="left" vertical="top" wrapText="1"/>
    </xf>
    <xf numFmtId="0" fontId="15" fillId="36" borderId="11" xfId="0" applyFont="1" applyFill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left" vertical="top" wrapText="1"/>
    </xf>
    <xf numFmtId="0" fontId="15" fillId="36" borderId="11" xfId="0" applyFont="1" applyFill="1" applyBorder="1" applyAlignment="1">
      <alignment horizontal="left"/>
    </xf>
    <xf numFmtId="0" fontId="72" fillId="36" borderId="11" xfId="0" applyFont="1" applyFill="1" applyBorder="1" applyAlignment="1">
      <alignment horizontal="left"/>
    </xf>
    <xf numFmtId="0" fontId="15" fillId="36" borderId="11" xfId="0" applyNumberFormat="1" applyFont="1" applyFill="1" applyBorder="1" applyAlignment="1">
      <alignment horizontal="left" vertical="top"/>
    </xf>
    <xf numFmtId="0" fontId="64" fillId="0" borderId="13" xfId="0" applyFont="1" applyFill="1" applyBorder="1" applyAlignment="1">
      <alignment vertical="top" wrapText="1"/>
    </xf>
    <xf numFmtId="0" fontId="72" fillId="0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70" fillId="34" borderId="11" xfId="0" applyFont="1" applyFill="1" applyBorder="1" applyAlignment="1">
      <alignment vertical="top" wrapText="1"/>
    </xf>
    <xf numFmtId="0" fontId="70" fillId="0" borderId="11" xfId="0" applyFont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64" fillId="0" borderId="12" xfId="0" applyFont="1" applyFill="1" applyBorder="1" applyAlignment="1">
      <alignment vertical="top" wrapText="1"/>
    </xf>
    <xf numFmtId="0" fontId="15" fillId="0" borderId="22" xfId="0" applyFont="1" applyBorder="1" applyAlignment="1">
      <alignment horizontal="left"/>
    </xf>
    <xf numFmtId="0" fontId="64" fillId="32" borderId="0" xfId="0" applyFont="1" applyFill="1" applyBorder="1" applyAlignment="1">
      <alignment/>
    </xf>
    <xf numFmtId="0" fontId="64" fillId="0" borderId="23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5" fillId="0" borderId="27" xfId="0" applyFont="1" applyBorder="1" applyAlignment="1">
      <alignment/>
    </xf>
    <xf numFmtId="0" fontId="64" fillId="0" borderId="28" xfId="0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65" fillId="0" borderId="20" xfId="0" applyFont="1" applyBorder="1" applyAlignment="1">
      <alignment horizontal="center"/>
    </xf>
    <xf numFmtId="0" fontId="65" fillId="0" borderId="28" xfId="0" applyFont="1" applyBorder="1" applyAlignment="1">
      <alignment/>
    </xf>
    <xf numFmtId="0" fontId="65" fillId="0" borderId="21" xfId="0" applyFont="1" applyBorder="1" applyAlignment="1">
      <alignment horizontal="center"/>
    </xf>
    <xf numFmtId="0" fontId="64" fillId="0" borderId="30" xfId="0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0" xfId="0" applyFont="1" applyBorder="1" applyAlignment="1">
      <alignment/>
    </xf>
    <xf numFmtId="0" fontId="72" fillId="0" borderId="34" xfId="0" applyFont="1" applyBorder="1" applyAlignment="1">
      <alignment vertical="center" wrapText="1"/>
    </xf>
    <xf numFmtId="0" fontId="72" fillId="0" borderId="35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11" fillId="41" borderId="34" xfId="0" applyFont="1" applyFill="1" applyBorder="1" applyAlignment="1">
      <alignment vertical="top" wrapText="1"/>
    </xf>
    <xf numFmtId="0" fontId="2" fillId="33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11" fillId="41" borderId="35" xfId="0" applyFont="1" applyFill="1" applyBorder="1" applyAlignment="1">
      <alignment vertical="top" wrapText="1"/>
    </xf>
    <xf numFmtId="0" fontId="2" fillId="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7" fillId="0" borderId="34" xfId="0" applyFont="1" applyBorder="1" applyAlignment="1">
      <alignment vertical="center" wrapText="1"/>
    </xf>
    <xf numFmtId="0" fontId="67" fillId="0" borderId="35" xfId="0" applyFont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top"/>
    </xf>
    <xf numFmtId="0" fontId="17" fillId="0" borderId="11" xfId="0" applyFont="1" applyBorder="1" applyAlignment="1">
      <alignment vertical="top" wrapText="1"/>
    </xf>
    <xf numFmtId="0" fontId="64" fillId="34" borderId="11" xfId="0" applyFont="1" applyFill="1" applyBorder="1" applyAlignment="1" applyProtection="1">
      <alignment vertical="top"/>
      <protection/>
    </xf>
    <xf numFmtId="0" fontId="64" fillId="0" borderId="11" xfId="0" applyFont="1" applyFill="1" applyBorder="1" applyAlignment="1">
      <alignment vertical="top"/>
    </xf>
    <xf numFmtId="0" fontId="65" fillId="34" borderId="11" xfId="0" applyFont="1" applyFill="1" applyBorder="1" applyAlignment="1">
      <alignment vertical="top"/>
    </xf>
    <xf numFmtId="0" fontId="65" fillId="0" borderId="11" xfId="0" applyFont="1" applyBorder="1" applyAlignment="1">
      <alignment vertical="top"/>
    </xf>
    <xf numFmtId="0" fontId="18" fillId="41" borderId="11" xfId="0" applyFont="1" applyFill="1" applyBorder="1" applyAlignment="1">
      <alignment vertical="top" wrapText="1"/>
    </xf>
    <xf numFmtId="0" fontId="17" fillId="41" borderId="11" xfId="0" applyFont="1" applyFill="1" applyBorder="1" applyAlignment="1">
      <alignment vertical="top" wrapText="1"/>
    </xf>
    <xf numFmtId="0" fontId="73" fillId="34" borderId="11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 wrapText="1"/>
    </xf>
    <xf numFmtId="0" fontId="65" fillId="0" borderId="11" xfId="0" applyFont="1" applyFill="1" applyBorder="1" applyAlignment="1">
      <alignment vertical="top"/>
    </xf>
    <xf numFmtId="0" fontId="74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8" fillId="0" borderId="36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64" fillId="35" borderId="11" xfId="0" applyFont="1" applyFill="1" applyBorder="1" applyAlignment="1">
      <alignment vertical="top"/>
    </xf>
    <xf numFmtId="0" fontId="0" fillId="0" borderId="0" xfId="0" applyAlignment="1">
      <alignment vertical="top"/>
    </xf>
    <xf numFmtId="0" fontId="67" fillId="0" borderId="18" xfId="0" applyFont="1" applyBorder="1" applyAlignment="1">
      <alignment wrapText="1"/>
    </xf>
    <xf numFmtId="0" fontId="67" fillId="0" borderId="19" xfId="0" applyFont="1" applyBorder="1" applyAlignment="1">
      <alignment wrapText="1"/>
    </xf>
    <xf numFmtId="0" fontId="64" fillId="0" borderId="36" xfId="0" applyFont="1" applyBorder="1" applyAlignment="1">
      <alignment/>
    </xf>
    <xf numFmtId="0" fontId="67" fillId="0" borderId="37" xfId="0" applyFont="1" applyBorder="1" applyAlignment="1">
      <alignment wrapText="1"/>
    </xf>
    <xf numFmtId="0" fontId="64" fillId="36" borderId="0" xfId="0" applyFont="1" applyFill="1" applyBorder="1" applyAlignment="1" applyProtection="1">
      <alignment/>
      <protection/>
    </xf>
    <xf numFmtId="0" fontId="65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64" fillId="42" borderId="11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40" borderId="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64" fillId="36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67" fillId="36" borderId="11" xfId="0" applyFont="1" applyFill="1" applyBorder="1" applyAlignment="1">
      <alignment vertical="center" wrapText="1"/>
    </xf>
    <xf numFmtId="0" fontId="64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64" fillId="34" borderId="11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12" fillId="0" borderId="11" xfId="0" applyFont="1" applyBorder="1" applyAlignment="1">
      <alignment textRotation="90"/>
    </xf>
    <xf numFmtId="0" fontId="12" fillId="0" borderId="11" xfId="0" applyFont="1" applyBorder="1" applyAlignment="1">
      <alignment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left" textRotation="90" wrapText="1"/>
    </xf>
    <xf numFmtId="0" fontId="64" fillId="0" borderId="11" xfId="0" applyFont="1" applyBorder="1" applyAlignment="1">
      <alignment horizontal="left" textRotation="90" wrapText="1"/>
    </xf>
    <xf numFmtId="0" fontId="15" fillId="0" borderId="11" xfId="0" applyFont="1" applyBorder="1" applyAlignment="1">
      <alignment vertical="center" wrapText="1"/>
    </xf>
    <xf numFmtId="0" fontId="20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70" fillId="0" borderId="0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Alignment="1">
      <alignment/>
    </xf>
    <xf numFmtId="0" fontId="75" fillId="32" borderId="10" xfId="0" applyFont="1" applyFill="1" applyBorder="1" applyAlignment="1">
      <alignment/>
    </xf>
    <xf numFmtId="0" fontId="75" fillId="0" borderId="11" xfId="0" applyFont="1" applyBorder="1" applyAlignment="1">
      <alignment horizontal="center" vertical="center" textRotation="90" wrapText="1"/>
    </xf>
    <xf numFmtId="0" fontId="76" fillId="0" borderId="11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65" fillId="0" borderId="11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71" fillId="0" borderId="0" xfId="0" applyFont="1" applyAlignment="1">
      <alignment/>
    </xf>
    <xf numFmtId="0" fontId="66" fillId="32" borderId="10" xfId="0" applyFont="1" applyFill="1" applyBorder="1" applyAlignment="1">
      <alignment/>
    </xf>
    <xf numFmtId="0" fontId="66" fillId="0" borderId="11" xfId="0" applyFont="1" applyBorder="1" applyAlignment="1">
      <alignment horizontal="center" vertical="center" textRotation="90" wrapText="1"/>
    </xf>
    <xf numFmtId="0" fontId="71" fillId="0" borderId="11" xfId="0" applyFont="1" applyBorder="1" applyAlignment="1">
      <alignment vertical="center"/>
    </xf>
    <xf numFmtId="0" fontId="66" fillId="0" borderId="11" xfId="0" applyFont="1" applyBorder="1" applyAlignment="1">
      <alignment/>
    </xf>
    <xf numFmtId="0" fontId="66" fillId="34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0" fontId="71" fillId="0" borderId="11" xfId="0" applyFont="1" applyBorder="1" applyAlignment="1">
      <alignment/>
    </xf>
    <xf numFmtId="0" fontId="66" fillId="43" borderId="11" xfId="0" applyFont="1" applyFill="1" applyBorder="1" applyAlignment="1">
      <alignment/>
    </xf>
    <xf numFmtId="0" fontId="11" fillId="43" borderId="15" xfId="0" applyFont="1" applyFill="1" applyBorder="1" applyAlignment="1">
      <alignment vertical="top" wrapText="1"/>
    </xf>
    <xf numFmtId="0" fontId="71" fillId="43" borderId="11" xfId="0" applyFont="1" applyFill="1" applyBorder="1" applyAlignment="1">
      <alignment/>
    </xf>
    <xf numFmtId="0" fontId="70" fillId="0" borderId="18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65" fillId="36" borderId="11" xfId="0" applyFont="1" applyFill="1" applyBorder="1" applyAlignment="1">
      <alignment/>
    </xf>
    <xf numFmtId="0" fontId="70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wrapText="1"/>
    </xf>
    <xf numFmtId="0" fontId="2" fillId="0" borderId="38" xfId="0" applyFont="1" applyFill="1" applyBorder="1" applyAlignment="1">
      <alignment/>
    </xf>
    <xf numFmtId="0" fontId="2" fillId="41" borderId="35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9" xfId="0" applyFont="1" applyBorder="1" applyAlignment="1">
      <alignment/>
    </xf>
    <xf numFmtId="0" fontId="77" fillId="0" borderId="11" xfId="0" applyFont="1" applyFill="1" applyBorder="1" applyAlignment="1">
      <alignment wrapText="1"/>
    </xf>
    <xf numFmtId="0" fontId="77" fillId="0" borderId="11" xfId="0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 applyProtection="1">
      <alignment/>
      <protection/>
    </xf>
    <xf numFmtId="0" fontId="11" fillId="0" borderId="11" xfId="0" applyFont="1" applyBorder="1" applyAlignment="1">
      <alignment vertical="top" wrapText="1"/>
    </xf>
    <xf numFmtId="0" fontId="64" fillId="0" borderId="20" xfId="0" applyFont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64" fillId="0" borderId="21" xfId="0" applyFont="1" applyBorder="1" applyAlignment="1">
      <alignment/>
    </xf>
    <xf numFmtId="0" fontId="64" fillId="35" borderId="20" xfId="0" applyFont="1" applyFill="1" applyBorder="1" applyAlignment="1">
      <alignment/>
    </xf>
    <xf numFmtId="0" fontId="11" fillId="35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35" borderId="41" xfId="0" applyFont="1" applyFill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78" fillId="35" borderId="11" xfId="0" applyFont="1" applyFill="1" applyBorder="1" applyAlignment="1">
      <alignment/>
    </xf>
    <xf numFmtId="0" fontId="78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0" fillId="4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 horizontal="center" textRotation="90" wrapText="1"/>
    </xf>
    <xf numFmtId="0" fontId="0" fillId="34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4" borderId="44" xfId="0" applyFill="1" applyBorder="1" applyAlignment="1">
      <alignment/>
    </xf>
    <xf numFmtId="0" fontId="0" fillId="0" borderId="45" xfId="0" applyBorder="1" applyAlignment="1">
      <alignment/>
    </xf>
    <xf numFmtId="0" fontId="0" fillId="34" borderId="27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Border="1" applyAlignment="1">
      <alignment/>
    </xf>
    <xf numFmtId="0" fontId="0" fillId="34" borderId="28" xfId="0" applyFill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vertical="center"/>
    </xf>
    <xf numFmtId="0" fontId="0" fillId="34" borderId="36" xfId="0" applyFill="1" applyBorder="1" applyAlignment="1">
      <alignment/>
    </xf>
    <xf numFmtId="0" fontId="0" fillId="34" borderId="12" xfId="0" applyFill="1" applyBorder="1" applyAlignment="1">
      <alignment/>
    </xf>
    <xf numFmtId="0" fontId="82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textRotation="90" wrapText="1"/>
    </xf>
    <xf numFmtId="0" fontId="68" fillId="0" borderId="11" xfId="0" applyFont="1" applyBorder="1" applyAlignment="1">
      <alignment vertical="center"/>
    </xf>
    <xf numFmtId="0" fontId="67" fillId="0" borderId="3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/>
    </xf>
    <xf numFmtId="0" fontId="79" fillId="0" borderId="11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83" fillId="0" borderId="11" xfId="0" applyFont="1" applyBorder="1" applyAlignment="1">
      <alignment horizontal="center" vertical="center" textRotation="90" wrapText="1"/>
    </xf>
    <xf numFmtId="0" fontId="69" fillId="0" borderId="11" xfId="0" applyFont="1" applyBorder="1" applyAlignment="1">
      <alignment vertical="center"/>
    </xf>
    <xf numFmtId="0" fontId="8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6" fillId="0" borderId="49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66" fillId="0" borderId="49" xfId="0" applyFont="1" applyBorder="1" applyAlignment="1">
      <alignment horizontal="center" vertical="center" textRotation="90" wrapText="1"/>
    </xf>
    <xf numFmtId="0" fontId="0" fillId="38" borderId="49" xfId="0" applyFont="1" applyFill="1" applyBorder="1" applyAlignment="1">
      <alignment/>
    </xf>
    <xf numFmtId="0" fontId="85" fillId="38" borderId="49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82" fillId="0" borderId="11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53" xfId="0" applyFont="1" applyBorder="1" applyAlignment="1">
      <alignment horizontal="center" vertical="center" textRotation="90" wrapText="1"/>
    </xf>
    <xf numFmtId="0" fontId="65" fillId="0" borderId="22" xfId="0" applyFont="1" applyBorder="1" applyAlignment="1">
      <alignment vertical="center"/>
    </xf>
    <xf numFmtId="0" fontId="64" fillId="0" borderId="54" xfId="0" applyFont="1" applyBorder="1" applyAlignment="1">
      <alignment horizontal="center" vertical="center" textRotation="90" wrapText="1"/>
    </xf>
    <xf numFmtId="0" fontId="0" fillId="0" borderId="44" xfId="0" applyBorder="1" applyAlignment="1">
      <alignment vertical="center"/>
    </xf>
    <xf numFmtId="0" fontId="64" fillId="0" borderId="55" xfId="0" applyFont="1" applyBorder="1" applyAlignment="1">
      <alignment horizontal="center" vertical="center" textRotation="90" wrapText="1"/>
    </xf>
    <xf numFmtId="0" fontId="65" fillId="0" borderId="33" xfId="0" applyFont="1" applyBorder="1" applyAlignment="1">
      <alignment vertical="center"/>
    </xf>
    <xf numFmtId="0" fontId="82" fillId="0" borderId="23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64" fillId="0" borderId="11" xfId="0" applyFont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64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4" fillId="42" borderId="36" xfId="0" applyFont="1" applyFill="1" applyBorder="1" applyAlignment="1">
      <alignment horizontal="center" vertical="center" textRotation="90" wrapText="1"/>
    </xf>
    <xf numFmtId="0" fontId="64" fillId="42" borderId="12" xfId="0" applyFont="1" applyFill="1" applyBorder="1" applyAlignment="1">
      <alignment horizontal="center" vertical="center" textRotation="90" wrapText="1"/>
    </xf>
    <xf numFmtId="0" fontId="86" fillId="0" borderId="11" xfId="0" applyFont="1" applyBorder="1" applyAlignment="1">
      <alignment horizontal="center" vertical="center" textRotation="90" wrapText="1"/>
    </xf>
    <xf numFmtId="0" fontId="86" fillId="0" borderId="11" xfId="0" applyFont="1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42" xfId="0" applyFont="1" applyBorder="1" applyAlignment="1">
      <alignment horizontal="left" vertical="center"/>
    </xf>
    <xf numFmtId="0" fontId="0" fillId="44" borderId="0" xfId="0" applyFill="1" applyAlignment="1">
      <alignment/>
    </xf>
    <xf numFmtId="0" fontId="22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textRotation="90" wrapText="1"/>
    </xf>
    <xf numFmtId="0" fontId="76" fillId="0" borderId="11" xfId="0" applyFont="1" applyBorder="1" applyAlignment="1">
      <alignment vertical="center"/>
    </xf>
    <xf numFmtId="0" fontId="87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 textRotation="90" wrapText="1"/>
    </xf>
    <xf numFmtId="0" fontId="71" fillId="0" borderId="11" xfId="0" applyFont="1" applyBorder="1" applyAlignment="1">
      <alignment vertical="center"/>
    </xf>
    <xf numFmtId="0" fontId="88" fillId="34" borderId="36" xfId="0" applyFont="1" applyFill="1" applyBorder="1" applyAlignment="1">
      <alignment/>
    </xf>
    <xf numFmtId="0" fontId="88" fillId="34" borderId="12" xfId="0" applyFont="1" applyFill="1" applyBorder="1" applyAlignment="1">
      <alignment/>
    </xf>
    <xf numFmtId="0" fontId="85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9;&#1077;&#1088;\Documents\&#1088;&#1077;&#1081;&#1090;&#1080;&#1085;&#1075;%20%20&#1089;%20&#1092;&#1086;&#1088;&#1084;&#1091;&#1083;&#1086;&#1081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 t="str">
            <v>Абдыкеров Ануар Бауржанулы</v>
          </cell>
        </row>
        <row r="6">
          <cell r="B6" t="str">
            <v>Аженева Гаухар Мамашевна</v>
          </cell>
        </row>
        <row r="7">
          <cell r="B7" t="str">
            <v>Андруцкая Анастасия Николаевна</v>
          </cell>
        </row>
        <row r="8">
          <cell r="B8" t="str">
            <v>Аронова Виктория Сергеевна</v>
          </cell>
        </row>
        <row r="9">
          <cell r="B9" t="str">
            <v>Афанасьева Екатерина Владимировна</v>
          </cell>
        </row>
        <row r="10">
          <cell r="B10" t="str">
            <v>Борисович Екаткрина Борисовна</v>
          </cell>
        </row>
        <row r="11">
          <cell r="B11" t="str">
            <v>Бритоусова Анастасия Владимировна</v>
          </cell>
        </row>
        <row r="12">
          <cell r="B12" t="str">
            <v>Глазунова Вероника Игоревна</v>
          </cell>
        </row>
        <row r="13">
          <cell r="B13" t="str">
            <v>Гопаненко Елена Александровна</v>
          </cell>
        </row>
        <row r="14">
          <cell r="B14" t="str">
            <v>Денисов Данил Борисович</v>
          </cell>
        </row>
        <row r="15">
          <cell r="B15" t="str">
            <v>Дурнова Маргарита Владимировна</v>
          </cell>
        </row>
        <row r="16">
          <cell r="B16" t="str">
            <v>Казанцева Мария Викторовна</v>
          </cell>
        </row>
        <row r="17">
          <cell r="B17" t="str">
            <v>Касымова Замира Нурланкызы</v>
          </cell>
        </row>
        <row r="18">
          <cell r="B18" t="str">
            <v>Колмогорова Варвара Евгеньевна</v>
          </cell>
        </row>
        <row r="19">
          <cell r="B19" t="str">
            <v>Кадуркина Вероника Евгеньевна</v>
          </cell>
        </row>
        <row r="20">
          <cell r="B20" t="str">
            <v>Кошкина Елизавета Викторовна</v>
          </cell>
        </row>
        <row r="21">
          <cell r="B21" t="str">
            <v>Кузьменко Ярослав Константинович</v>
          </cell>
        </row>
        <row r="22">
          <cell r="B22" t="str">
            <v>Наурызбаева Арсида Акылбековна</v>
          </cell>
        </row>
        <row r="23">
          <cell r="B23" t="str">
            <v>Никулина Виктория Андреевна</v>
          </cell>
        </row>
        <row r="24">
          <cell r="B24" t="str">
            <v>Подколодная Анастасия Валерьевна</v>
          </cell>
        </row>
        <row r="25">
          <cell r="B25" t="str">
            <v>Свириденко Ксения Георгиевна</v>
          </cell>
        </row>
        <row r="26">
          <cell r="B26" t="str">
            <v>Сосаева Татьяна Александровна</v>
          </cell>
        </row>
        <row r="27">
          <cell r="B27" t="str">
            <v>Хасанова Наргиз Флорисовна</v>
          </cell>
        </row>
        <row r="28">
          <cell r="B28" t="str">
            <v>Чекина Ангелина Максимовна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125" workbookViewId="0" topLeftCell="A1">
      <selection activeCell="S24" sqref="S24"/>
    </sheetView>
  </sheetViews>
  <sheetFormatPr defaultColWidth="8.8515625" defaultRowHeight="15"/>
  <cols>
    <col min="1" max="1" width="2.8515625" style="0" customWidth="1"/>
    <col min="2" max="2" width="18.140625" style="0" customWidth="1"/>
    <col min="3" max="3" width="5.421875" style="0" customWidth="1"/>
    <col min="4" max="4" width="4.57421875" style="0" customWidth="1"/>
    <col min="5" max="5" width="4.140625" style="0" customWidth="1"/>
    <col min="6" max="7" width="4.57421875" style="0" customWidth="1"/>
    <col min="8" max="8" width="7.140625" style="0" customWidth="1"/>
    <col min="9" max="9" width="7.00390625" style="0" customWidth="1"/>
    <col min="10" max="12" width="6.7109375" style="0" customWidth="1"/>
    <col min="13" max="13" width="5.7109375" style="0" customWidth="1"/>
    <col min="14" max="16" width="6.421875" style="0" customWidth="1"/>
    <col min="17" max="17" width="6.7109375" style="0" customWidth="1"/>
    <col min="18" max="18" width="5.7109375" style="0" customWidth="1"/>
    <col min="19" max="19" width="6.421875" style="0" customWidth="1"/>
  </cols>
  <sheetData>
    <row r="1" spans="1:19" ht="12.75" customHeight="1">
      <c r="A1" s="295" t="s">
        <v>47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5">
      <c r="A2" s="2"/>
      <c r="B2" s="2"/>
      <c r="C2" s="2"/>
      <c r="D2" s="2"/>
      <c r="E2" s="2"/>
      <c r="F2" s="2"/>
      <c r="G2" s="11"/>
      <c r="H2" s="3"/>
      <c r="I2" s="3"/>
      <c r="J2" s="3"/>
      <c r="K2" s="3"/>
      <c r="L2" s="3"/>
      <c r="M2" s="3"/>
      <c r="N2" s="3"/>
      <c r="O2" s="3"/>
      <c r="P2" s="4" t="s">
        <v>0</v>
      </c>
      <c r="Q2" s="4"/>
      <c r="R2" s="4"/>
      <c r="S2" s="4">
        <f>SUM(S5:S29)</f>
        <v>14550</v>
      </c>
    </row>
    <row r="3" spans="1:20" ht="57" customHeight="1">
      <c r="A3" s="300" t="s">
        <v>1</v>
      </c>
      <c r="B3" s="300" t="s">
        <v>2</v>
      </c>
      <c r="C3" s="298" t="s">
        <v>7</v>
      </c>
      <c r="D3" s="298" t="s">
        <v>8</v>
      </c>
      <c r="E3" s="298" t="s">
        <v>9</v>
      </c>
      <c r="F3" s="298" t="s">
        <v>10</v>
      </c>
      <c r="G3" s="301" t="s">
        <v>19</v>
      </c>
      <c r="H3" s="298" t="s">
        <v>11</v>
      </c>
      <c r="I3" s="298" t="s">
        <v>4</v>
      </c>
      <c r="J3" s="298" t="s">
        <v>12</v>
      </c>
      <c r="K3" s="298" t="s">
        <v>13</v>
      </c>
      <c r="L3" s="298" t="s">
        <v>14</v>
      </c>
      <c r="M3" s="298" t="s">
        <v>15</v>
      </c>
      <c r="N3" s="298" t="s">
        <v>16</v>
      </c>
      <c r="O3" s="298" t="s">
        <v>17</v>
      </c>
      <c r="P3" s="298" t="s">
        <v>5</v>
      </c>
      <c r="Q3" s="9" t="s">
        <v>18</v>
      </c>
      <c r="R3" s="298" t="s">
        <v>6</v>
      </c>
      <c r="S3" s="297" t="s">
        <v>3</v>
      </c>
      <c r="T3" s="1"/>
    </row>
    <row r="4" spans="1:19" ht="11.25" customHeight="1">
      <c r="A4" s="300"/>
      <c r="B4" s="300"/>
      <c r="C4" s="299"/>
      <c r="D4" s="299"/>
      <c r="E4" s="299"/>
      <c r="F4" s="299"/>
      <c r="G4" s="302"/>
      <c r="H4" s="299"/>
      <c r="I4" s="299"/>
      <c r="J4" s="299"/>
      <c r="K4" s="299"/>
      <c r="L4" s="299"/>
      <c r="M4" s="299"/>
      <c r="N4" s="299"/>
      <c r="O4" s="299"/>
      <c r="P4" s="299"/>
      <c r="Q4" s="10"/>
      <c r="R4" s="299"/>
      <c r="S4" s="297"/>
    </row>
    <row r="5" spans="1:19" ht="15">
      <c r="A5" s="5">
        <v>1</v>
      </c>
      <c r="B5" s="16" t="s">
        <v>21</v>
      </c>
      <c r="C5" s="5">
        <v>350</v>
      </c>
      <c r="D5" s="5">
        <v>212</v>
      </c>
      <c r="E5" s="5">
        <v>45</v>
      </c>
      <c r="F5" s="5">
        <v>0</v>
      </c>
      <c r="G5" s="15">
        <v>607</v>
      </c>
      <c r="H5" s="5">
        <v>10</v>
      </c>
      <c r="I5" s="5">
        <v>5</v>
      </c>
      <c r="J5" s="5">
        <v>0</v>
      </c>
      <c r="K5" s="6">
        <v>20</v>
      </c>
      <c r="L5" s="6">
        <v>0</v>
      </c>
      <c r="M5" s="6">
        <v>0</v>
      </c>
      <c r="N5" s="6">
        <v>0</v>
      </c>
      <c r="O5" s="6">
        <v>5</v>
      </c>
      <c r="P5" s="6">
        <v>0</v>
      </c>
      <c r="Q5" s="6">
        <v>2</v>
      </c>
      <c r="R5" s="6">
        <v>2</v>
      </c>
      <c r="S5" s="14">
        <v>644</v>
      </c>
    </row>
    <row r="6" spans="1:19" ht="15">
      <c r="A6" s="5">
        <v>2</v>
      </c>
      <c r="B6" s="16" t="s">
        <v>22</v>
      </c>
      <c r="C6" s="5">
        <v>120</v>
      </c>
      <c r="D6" s="5">
        <v>280</v>
      </c>
      <c r="E6" s="5">
        <v>42</v>
      </c>
      <c r="F6" s="5">
        <v>0</v>
      </c>
      <c r="G6" s="15">
        <v>442</v>
      </c>
      <c r="H6" s="5">
        <v>0</v>
      </c>
      <c r="I6" s="5">
        <v>5</v>
      </c>
      <c r="J6" s="6">
        <v>0</v>
      </c>
      <c r="K6" s="6">
        <v>0</v>
      </c>
      <c r="L6" s="7">
        <v>0</v>
      </c>
      <c r="M6" s="6">
        <v>0</v>
      </c>
      <c r="N6" s="6">
        <v>0</v>
      </c>
      <c r="O6" s="7">
        <v>5</v>
      </c>
      <c r="P6" s="7">
        <v>0</v>
      </c>
      <c r="Q6" s="6">
        <v>2</v>
      </c>
      <c r="R6" s="7">
        <v>0</v>
      </c>
      <c r="S6" s="14">
        <v>454</v>
      </c>
    </row>
    <row r="7" spans="1:19" ht="15">
      <c r="A7" s="5">
        <v>3</v>
      </c>
      <c r="B7" s="16" t="s">
        <v>23</v>
      </c>
      <c r="C7" s="5">
        <v>95</v>
      </c>
      <c r="D7" s="5">
        <v>360</v>
      </c>
      <c r="E7" s="5">
        <v>69</v>
      </c>
      <c r="F7" s="5">
        <v>0</v>
      </c>
      <c r="G7" s="15">
        <v>524</v>
      </c>
      <c r="H7" s="5">
        <v>0</v>
      </c>
      <c r="I7" s="5">
        <v>5</v>
      </c>
      <c r="J7" s="6">
        <v>0</v>
      </c>
      <c r="K7" s="6">
        <v>0</v>
      </c>
      <c r="L7" s="7">
        <v>0</v>
      </c>
      <c r="M7" s="6">
        <v>0</v>
      </c>
      <c r="N7" s="6">
        <v>0</v>
      </c>
      <c r="O7" s="7">
        <v>5</v>
      </c>
      <c r="P7" s="7">
        <v>0</v>
      </c>
      <c r="Q7" s="6">
        <v>2</v>
      </c>
      <c r="R7" s="7">
        <v>0</v>
      </c>
      <c r="S7" s="14">
        <v>536</v>
      </c>
    </row>
    <row r="8" spans="1:19" ht="15">
      <c r="A8" s="5">
        <v>4</v>
      </c>
      <c r="B8" s="16" t="s">
        <v>24</v>
      </c>
      <c r="C8" s="5">
        <v>375</v>
      </c>
      <c r="D8" s="5">
        <v>208</v>
      </c>
      <c r="E8" s="5">
        <v>30</v>
      </c>
      <c r="F8" s="5">
        <v>0</v>
      </c>
      <c r="G8" s="15">
        <v>613</v>
      </c>
      <c r="H8" s="5">
        <v>0</v>
      </c>
      <c r="I8" s="5">
        <v>5</v>
      </c>
      <c r="J8" s="6">
        <v>0</v>
      </c>
      <c r="K8" s="6">
        <v>20</v>
      </c>
      <c r="L8" s="7">
        <v>0</v>
      </c>
      <c r="M8" s="6">
        <v>0</v>
      </c>
      <c r="N8" s="6">
        <v>3</v>
      </c>
      <c r="O8" s="7">
        <v>5</v>
      </c>
      <c r="P8" s="7">
        <v>0</v>
      </c>
      <c r="Q8" s="6">
        <v>2</v>
      </c>
      <c r="R8" s="7">
        <v>0</v>
      </c>
      <c r="S8" s="14">
        <v>643</v>
      </c>
    </row>
    <row r="9" spans="1:19" ht="15">
      <c r="A9" s="5">
        <v>5</v>
      </c>
      <c r="B9" s="16" t="s">
        <v>25</v>
      </c>
      <c r="C9" s="5">
        <v>95</v>
      </c>
      <c r="D9" s="5">
        <v>300</v>
      </c>
      <c r="E9" s="5">
        <v>78</v>
      </c>
      <c r="F9" s="5">
        <v>0</v>
      </c>
      <c r="G9" s="15">
        <v>473</v>
      </c>
      <c r="H9" s="5">
        <v>24</v>
      </c>
      <c r="I9" s="5">
        <v>5</v>
      </c>
      <c r="J9" s="5">
        <v>0</v>
      </c>
      <c r="K9" s="19">
        <v>0</v>
      </c>
      <c r="L9" s="7">
        <v>0</v>
      </c>
      <c r="M9" s="5">
        <v>0</v>
      </c>
      <c r="N9" s="6">
        <v>0</v>
      </c>
      <c r="O9" s="7">
        <v>5</v>
      </c>
      <c r="P9" s="7">
        <v>0</v>
      </c>
      <c r="Q9" s="6">
        <v>2</v>
      </c>
      <c r="R9" s="7">
        <v>2</v>
      </c>
      <c r="S9" s="14">
        <v>482</v>
      </c>
    </row>
    <row r="10" spans="1:19" ht="15">
      <c r="A10" s="5">
        <v>6</v>
      </c>
      <c r="B10" s="16" t="s">
        <v>26</v>
      </c>
      <c r="C10" s="5">
        <v>330</v>
      </c>
      <c r="D10" s="5">
        <v>224</v>
      </c>
      <c r="E10" s="5">
        <v>42</v>
      </c>
      <c r="F10" s="5">
        <v>0</v>
      </c>
      <c r="G10" s="15">
        <v>596</v>
      </c>
      <c r="H10" s="5">
        <v>0</v>
      </c>
      <c r="I10" s="5">
        <v>5</v>
      </c>
      <c r="J10" s="5">
        <v>0</v>
      </c>
      <c r="K10" s="7">
        <v>20</v>
      </c>
      <c r="L10" s="7">
        <v>0</v>
      </c>
      <c r="M10" s="6">
        <v>0</v>
      </c>
      <c r="N10" s="6">
        <v>0</v>
      </c>
      <c r="O10" s="7">
        <v>5</v>
      </c>
      <c r="P10" s="7">
        <v>0</v>
      </c>
      <c r="Q10" s="6">
        <v>2</v>
      </c>
      <c r="R10" s="7">
        <v>2</v>
      </c>
      <c r="S10" s="14">
        <v>628</v>
      </c>
    </row>
    <row r="11" spans="1:19" ht="15">
      <c r="A11" s="5">
        <v>7</v>
      </c>
      <c r="B11" s="16" t="s">
        <v>27</v>
      </c>
      <c r="C11" s="5">
        <v>545</v>
      </c>
      <c r="D11" s="5">
        <v>140</v>
      </c>
      <c r="E11" s="5">
        <v>6</v>
      </c>
      <c r="F11" s="5">
        <v>0</v>
      </c>
      <c r="G11" s="15">
        <v>691</v>
      </c>
      <c r="H11" s="5">
        <v>0</v>
      </c>
      <c r="I11" s="5">
        <v>5</v>
      </c>
      <c r="J11" s="5">
        <v>0</v>
      </c>
      <c r="K11" s="7">
        <v>20</v>
      </c>
      <c r="L11" s="7">
        <v>0</v>
      </c>
      <c r="M11" s="6">
        <v>0</v>
      </c>
      <c r="N11" s="6">
        <v>0</v>
      </c>
      <c r="O11" s="7">
        <v>5</v>
      </c>
      <c r="P11" s="7">
        <v>0</v>
      </c>
      <c r="Q11" s="6">
        <v>2</v>
      </c>
      <c r="R11" s="7">
        <v>0</v>
      </c>
      <c r="S11" s="14">
        <v>718</v>
      </c>
    </row>
    <row r="12" spans="1:19" ht="13.5" customHeight="1">
      <c r="A12" s="5">
        <v>8</v>
      </c>
      <c r="B12" s="16" t="s">
        <v>28</v>
      </c>
      <c r="C12" s="5">
        <v>100</v>
      </c>
      <c r="D12" s="5">
        <v>424</v>
      </c>
      <c r="E12" s="5">
        <v>63</v>
      </c>
      <c r="F12" s="5">
        <v>0</v>
      </c>
      <c r="G12" s="15">
        <v>587</v>
      </c>
      <c r="H12" s="5">
        <v>0</v>
      </c>
      <c r="I12" s="5">
        <v>5</v>
      </c>
      <c r="J12" s="5">
        <v>0</v>
      </c>
      <c r="K12" s="7">
        <v>20</v>
      </c>
      <c r="L12" s="7">
        <v>0</v>
      </c>
      <c r="M12" s="6">
        <v>0</v>
      </c>
      <c r="N12" s="6">
        <v>0</v>
      </c>
      <c r="O12" s="7">
        <v>5</v>
      </c>
      <c r="P12" s="7">
        <v>0</v>
      </c>
      <c r="Q12" s="6">
        <v>2</v>
      </c>
      <c r="R12" s="7">
        <v>0</v>
      </c>
      <c r="S12" s="14">
        <v>603</v>
      </c>
    </row>
    <row r="13" spans="1:19" ht="15">
      <c r="A13" s="12">
        <v>9</v>
      </c>
      <c r="B13" s="17" t="s">
        <v>29</v>
      </c>
      <c r="C13" s="5">
        <v>475</v>
      </c>
      <c r="D13" s="5">
        <v>140</v>
      </c>
      <c r="E13" s="5">
        <v>18</v>
      </c>
      <c r="F13" s="12">
        <v>0</v>
      </c>
      <c r="G13" s="15">
        <v>633</v>
      </c>
      <c r="H13" s="12">
        <v>0</v>
      </c>
      <c r="I13" s="12">
        <v>5</v>
      </c>
      <c r="J13" s="12">
        <v>0</v>
      </c>
      <c r="K13" s="13">
        <v>0</v>
      </c>
      <c r="L13" s="13">
        <v>0</v>
      </c>
      <c r="M13" s="12">
        <v>0</v>
      </c>
      <c r="N13" s="12">
        <v>0</v>
      </c>
      <c r="O13" s="13">
        <v>5</v>
      </c>
      <c r="P13" s="13">
        <v>0</v>
      </c>
      <c r="Q13" s="12">
        <v>2</v>
      </c>
      <c r="R13" s="13">
        <v>0</v>
      </c>
      <c r="S13" s="14">
        <v>639</v>
      </c>
    </row>
    <row r="14" spans="1:19" ht="15">
      <c r="A14" s="12">
        <v>10</v>
      </c>
      <c r="B14" s="16" t="s">
        <v>30</v>
      </c>
      <c r="C14" s="5">
        <v>65</v>
      </c>
      <c r="D14" s="5">
        <v>312</v>
      </c>
      <c r="E14" s="5">
        <v>99</v>
      </c>
      <c r="F14" s="12">
        <v>0</v>
      </c>
      <c r="G14" s="15">
        <v>476</v>
      </c>
      <c r="H14" s="12">
        <v>16</v>
      </c>
      <c r="I14" s="12">
        <v>5</v>
      </c>
      <c r="J14" s="12">
        <v>0</v>
      </c>
      <c r="K14" s="13">
        <v>0</v>
      </c>
      <c r="L14" s="13">
        <v>0</v>
      </c>
      <c r="M14" s="12">
        <v>0</v>
      </c>
      <c r="N14" s="12">
        <v>0</v>
      </c>
      <c r="O14" s="13">
        <v>5</v>
      </c>
      <c r="P14" s="13">
        <v>0</v>
      </c>
      <c r="Q14" s="12">
        <v>2</v>
      </c>
      <c r="R14" s="13">
        <v>2</v>
      </c>
      <c r="S14" s="14">
        <v>491</v>
      </c>
    </row>
    <row r="15" spans="1:19" ht="15">
      <c r="A15" s="5">
        <v>11</v>
      </c>
      <c r="B15" s="16" t="s">
        <v>31</v>
      </c>
      <c r="C15" s="5">
        <v>570</v>
      </c>
      <c r="D15" s="5">
        <v>32</v>
      </c>
      <c r="E15" s="5">
        <v>9</v>
      </c>
      <c r="F15" s="5">
        <v>0</v>
      </c>
      <c r="G15" s="15">
        <v>611</v>
      </c>
      <c r="H15" s="5">
        <v>4</v>
      </c>
      <c r="I15" s="5">
        <v>5</v>
      </c>
      <c r="J15" s="5">
        <v>0</v>
      </c>
      <c r="K15" s="7">
        <v>0</v>
      </c>
      <c r="L15" s="7">
        <v>0</v>
      </c>
      <c r="M15" s="6">
        <v>0</v>
      </c>
      <c r="N15" s="6">
        <v>0</v>
      </c>
      <c r="O15" s="7">
        <v>5</v>
      </c>
      <c r="P15" s="7">
        <v>0</v>
      </c>
      <c r="Q15" s="6">
        <v>2</v>
      </c>
      <c r="R15" s="7">
        <v>2</v>
      </c>
      <c r="S15" s="14">
        <v>620</v>
      </c>
    </row>
    <row r="16" spans="1:19" ht="15">
      <c r="A16" s="12">
        <v>12</v>
      </c>
      <c r="B16" s="16" t="s">
        <v>32</v>
      </c>
      <c r="C16" s="5">
        <v>65</v>
      </c>
      <c r="D16" s="5">
        <v>288</v>
      </c>
      <c r="E16" s="5">
        <v>99</v>
      </c>
      <c r="F16" s="12">
        <v>2</v>
      </c>
      <c r="G16" s="15">
        <v>454</v>
      </c>
      <c r="H16" s="12">
        <v>0</v>
      </c>
      <c r="I16" s="12">
        <v>5</v>
      </c>
      <c r="J16" s="12">
        <v>0</v>
      </c>
      <c r="K16" s="13">
        <v>0</v>
      </c>
      <c r="L16" s="13">
        <v>0</v>
      </c>
      <c r="M16" s="12">
        <v>0</v>
      </c>
      <c r="N16" s="12">
        <v>0</v>
      </c>
      <c r="O16" s="13">
        <v>5</v>
      </c>
      <c r="P16" s="13">
        <v>0</v>
      </c>
      <c r="Q16" s="12">
        <v>2</v>
      </c>
      <c r="R16" s="13">
        <v>0</v>
      </c>
      <c r="S16" s="14">
        <v>460</v>
      </c>
    </row>
    <row r="17" spans="1:19" ht="15">
      <c r="A17" s="5">
        <v>13</v>
      </c>
      <c r="B17" s="16" t="s">
        <v>33</v>
      </c>
      <c r="C17" s="5">
        <v>195</v>
      </c>
      <c r="D17" s="5">
        <v>376</v>
      </c>
      <c r="E17" s="5">
        <v>27</v>
      </c>
      <c r="F17" s="5">
        <v>0</v>
      </c>
      <c r="G17" s="15">
        <v>598</v>
      </c>
      <c r="H17" s="5">
        <v>0</v>
      </c>
      <c r="I17" s="5">
        <v>5</v>
      </c>
      <c r="J17" s="5">
        <v>0</v>
      </c>
      <c r="K17" s="7">
        <v>0</v>
      </c>
      <c r="L17" s="7">
        <v>0</v>
      </c>
      <c r="M17" s="6">
        <v>0</v>
      </c>
      <c r="N17" s="6">
        <v>0</v>
      </c>
      <c r="O17" s="7">
        <v>5</v>
      </c>
      <c r="P17" s="7">
        <v>0</v>
      </c>
      <c r="Q17" s="6">
        <v>2</v>
      </c>
      <c r="R17" s="7">
        <v>2</v>
      </c>
      <c r="S17" s="14">
        <v>605</v>
      </c>
    </row>
    <row r="18" spans="1:19" ht="15">
      <c r="A18" s="5">
        <v>14</v>
      </c>
      <c r="B18" s="16" t="s">
        <v>34</v>
      </c>
      <c r="C18" s="5">
        <v>55</v>
      </c>
      <c r="D18" s="5">
        <v>392</v>
      </c>
      <c r="E18" s="5">
        <v>144</v>
      </c>
      <c r="F18" s="5">
        <v>0</v>
      </c>
      <c r="G18" s="15">
        <v>591</v>
      </c>
      <c r="H18" s="5">
        <v>10</v>
      </c>
      <c r="I18" s="5">
        <v>5</v>
      </c>
      <c r="J18" s="5">
        <v>0</v>
      </c>
      <c r="K18" s="7">
        <v>0</v>
      </c>
      <c r="L18" s="7">
        <v>0</v>
      </c>
      <c r="M18" s="6">
        <v>0</v>
      </c>
      <c r="N18" s="6">
        <v>0</v>
      </c>
      <c r="O18" s="7">
        <v>5</v>
      </c>
      <c r="P18" s="7">
        <v>0</v>
      </c>
      <c r="Q18" s="6">
        <v>2</v>
      </c>
      <c r="R18" s="7">
        <v>0</v>
      </c>
      <c r="S18" s="14">
        <v>602</v>
      </c>
    </row>
    <row r="19" spans="1:19" ht="15">
      <c r="A19" s="5">
        <v>15</v>
      </c>
      <c r="B19" s="16" t="s">
        <v>35</v>
      </c>
      <c r="C19" s="5">
        <v>460</v>
      </c>
      <c r="D19" s="5">
        <v>212</v>
      </c>
      <c r="E19" s="5">
        <v>12</v>
      </c>
      <c r="F19" s="5">
        <v>0</v>
      </c>
      <c r="G19" s="15">
        <v>684</v>
      </c>
      <c r="H19" s="5">
        <v>0</v>
      </c>
      <c r="I19" s="5">
        <v>5</v>
      </c>
      <c r="J19" s="5">
        <v>0</v>
      </c>
      <c r="K19" s="7">
        <v>20</v>
      </c>
      <c r="L19" s="7">
        <v>0</v>
      </c>
      <c r="M19" s="6">
        <v>0</v>
      </c>
      <c r="N19" s="6">
        <v>0</v>
      </c>
      <c r="O19" s="7">
        <v>5</v>
      </c>
      <c r="P19" s="7">
        <v>0</v>
      </c>
      <c r="Q19" s="6">
        <v>2</v>
      </c>
      <c r="R19" s="7">
        <v>2</v>
      </c>
      <c r="S19" s="14">
        <v>701</v>
      </c>
    </row>
    <row r="20" spans="1:19" ht="15">
      <c r="A20" s="5">
        <v>16</v>
      </c>
      <c r="B20" s="16" t="s">
        <v>36</v>
      </c>
      <c r="C20" s="5">
        <v>310</v>
      </c>
      <c r="D20" s="5">
        <v>268</v>
      </c>
      <c r="E20" s="5">
        <v>39</v>
      </c>
      <c r="F20" s="5">
        <v>0</v>
      </c>
      <c r="G20" s="15">
        <v>617</v>
      </c>
      <c r="H20" s="5">
        <v>0</v>
      </c>
      <c r="I20" s="5">
        <v>5</v>
      </c>
      <c r="J20" s="5">
        <v>0</v>
      </c>
      <c r="K20" s="7">
        <v>0</v>
      </c>
      <c r="L20" s="7">
        <v>0</v>
      </c>
      <c r="M20" s="6">
        <v>0</v>
      </c>
      <c r="N20" s="6">
        <v>0</v>
      </c>
      <c r="O20" s="7">
        <v>5</v>
      </c>
      <c r="P20" s="7">
        <v>0</v>
      </c>
      <c r="Q20" s="6">
        <v>2</v>
      </c>
      <c r="R20" s="7">
        <v>2</v>
      </c>
      <c r="S20" s="14">
        <v>624</v>
      </c>
    </row>
    <row r="21" spans="1:19" ht="15">
      <c r="A21" s="5">
        <v>17</v>
      </c>
      <c r="B21" s="16" t="s">
        <v>37</v>
      </c>
      <c r="C21" s="5">
        <v>630</v>
      </c>
      <c r="D21" s="5">
        <v>44</v>
      </c>
      <c r="E21" s="5">
        <v>0</v>
      </c>
      <c r="F21" s="5">
        <v>0</v>
      </c>
      <c r="G21" s="15">
        <v>674</v>
      </c>
      <c r="H21" s="5">
        <v>0</v>
      </c>
      <c r="I21" s="5">
        <v>5</v>
      </c>
      <c r="J21" s="5">
        <v>0</v>
      </c>
      <c r="K21" s="7">
        <v>0</v>
      </c>
      <c r="L21" s="7">
        <v>0</v>
      </c>
      <c r="M21" s="6">
        <v>5</v>
      </c>
      <c r="N21" s="6">
        <v>10</v>
      </c>
      <c r="O21" s="7">
        <v>5</v>
      </c>
      <c r="P21" s="7">
        <v>0</v>
      </c>
      <c r="Q21" s="6">
        <v>2</v>
      </c>
      <c r="R21" s="7">
        <v>2</v>
      </c>
      <c r="S21" s="14">
        <v>689</v>
      </c>
    </row>
    <row r="22" spans="1:19" ht="15">
      <c r="A22" s="5">
        <v>18</v>
      </c>
      <c r="B22" s="16" t="s">
        <v>38</v>
      </c>
      <c r="C22" s="5">
        <v>180</v>
      </c>
      <c r="D22" s="5">
        <v>368</v>
      </c>
      <c r="E22" s="5">
        <v>54</v>
      </c>
      <c r="F22" s="5">
        <v>2</v>
      </c>
      <c r="G22" s="15">
        <v>604</v>
      </c>
      <c r="H22" s="5">
        <v>4</v>
      </c>
      <c r="I22" s="5">
        <v>5</v>
      </c>
      <c r="J22" s="5">
        <v>0</v>
      </c>
      <c r="K22" s="7">
        <v>20</v>
      </c>
      <c r="L22" s="7">
        <v>0</v>
      </c>
      <c r="M22" s="6">
        <v>0</v>
      </c>
      <c r="N22" s="6">
        <v>0</v>
      </c>
      <c r="O22" s="7">
        <v>5</v>
      </c>
      <c r="P22" s="7">
        <v>0</v>
      </c>
      <c r="Q22" s="6">
        <v>2</v>
      </c>
      <c r="R22" s="7">
        <v>2</v>
      </c>
      <c r="S22" s="14">
        <v>623</v>
      </c>
    </row>
    <row r="23" spans="1:19" ht="15">
      <c r="A23" s="5">
        <v>19</v>
      </c>
      <c r="B23" s="16" t="s">
        <v>39</v>
      </c>
      <c r="C23" s="5">
        <v>80</v>
      </c>
      <c r="D23" s="5">
        <v>356</v>
      </c>
      <c r="E23" s="5">
        <v>78</v>
      </c>
      <c r="F23" s="5">
        <v>2</v>
      </c>
      <c r="G23" s="15">
        <v>516</v>
      </c>
      <c r="H23" s="5">
        <v>8</v>
      </c>
      <c r="I23" s="5">
        <v>5</v>
      </c>
      <c r="J23" s="5">
        <v>0</v>
      </c>
      <c r="K23" s="7">
        <v>0</v>
      </c>
      <c r="L23" s="7">
        <v>0</v>
      </c>
      <c r="M23" s="6">
        <v>0</v>
      </c>
      <c r="N23" s="6">
        <v>0</v>
      </c>
      <c r="O23" s="7">
        <v>5</v>
      </c>
      <c r="P23" s="7">
        <v>0</v>
      </c>
      <c r="Q23" s="6">
        <v>2</v>
      </c>
      <c r="R23" s="7">
        <v>0</v>
      </c>
      <c r="S23" s="14">
        <v>526</v>
      </c>
    </row>
    <row r="24" spans="1:19" ht="15">
      <c r="A24" s="5">
        <v>20</v>
      </c>
      <c r="B24" s="16" t="s">
        <v>40</v>
      </c>
      <c r="C24" s="5">
        <v>170</v>
      </c>
      <c r="D24" s="5">
        <v>256</v>
      </c>
      <c r="E24" s="5">
        <v>120</v>
      </c>
      <c r="F24" s="5">
        <v>0</v>
      </c>
      <c r="G24" s="15">
        <v>546</v>
      </c>
      <c r="H24" s="5">
        <v>0</v>
      </c>
      <c r="I24" s="5">
        <v>5</v>
      </c>
      <c r="J24" s="5">
        <v>0</v>
      </c>
      <c r="K24" s="7">
        <v>0</v>
      </c>
      <c r="L24" s="7">
        <v>0</v>
      </c>
      <c r="M24" s="6">
        <v>0</v>
      </c>
      <c r="N24" s="6">
        <v>0</v>
      </c>
      <c r="O24" s="7">
        <v>5</v>
      </c>
      <c r="P24" s="7">
        <v>0</v>
      </c>
      <c r="Q24" s="6">
        <v>2</v>
      </c>
      <c r="R24" s="7">
        <v>0</v>
      </c>
      <c r="S24" s="14">
        <v>552</v>
      </c>
    </row>
    <row r="25" spans="1:19" ht="15">
      <c r="A25" s="5">
        <v>21</v>
      </c>
      <c r="B25" s="16" t="s">
        <v>41</v>
      </c>
      <c r="C25" s="8">
        <v>160</v>
      </c>
      <c r="D25" s="8">
        <v>356</v>
      </c>
      <c r="E25" s="5">
        <v>45</v>
      </c>
      <c r="F25" s="5">
        <v>0</v>
      </c>
      <c r="G25" s="15">
        <v>561</v>
      </c>
      <c r="H25" s="5">
        <v>6</v>
      </c>
      <c r="I25" s="5">
        <v>5</v>
      </c>
      <c r="J25" s="5">
        <v>0</v>
      </c>
      <c r="K25" s="7">
        <v>0</v>
      </c>
      <c r="L25" s="7">
        <v>0</v>
      </c>
      <c r="M25" s="6">
        <v>0</v>
      </c>
      <c r="N25" s="6">
        <v>0</v>
      </c>
      <c r="O25" s="7">
        <v>5</v>
      </c>
      <c r="P25" s="7">
        <v>0</v>
      </c>
      <c r="Q25" s="6">
        <v>2</v>
      </c>
      <c r="R25" s="7">
        <v>2</v>
      </c>
      <c r="S25" s="14">
        <v>571</v>
      </c>
    </row>
    <row r="26" spans="1:19" ht="15">
      <c r="A26" s="5">
        <v>22</v>
      </c>
      <c r="B26" s="16" t="s">
        <v>42</v>
      </c>
      <c r="C26" s="8">
        <v>175</v>
      </c>
      <c r="D26" s="8">
        <v>364</v>
      </c>
      <c r="E26" s="5">
        <v>36</v>
      </c>
      <c r="F26" s="5">
        <v>0</v>
      </c>
      <c r="G26" s="15">
        <v>575</v>
      </c>
      <c r="H26" s="5">
        <v>6</v>
      </c>
      <c r="I26" s="5">
        <v>5</v>
      </c>
      <c r="J26" s="5">
        <v>0</v>
      </c>
      <c r="K26" s="7">
        <v>0</v>
      </c>
      <c r="L26" s="7">
        <v>0</v>
      </c>
      <c r="M26" s="6">
        <v>0</v>
      </c>
      <c r="N26" s="6">
        <v>0</v>
      </c>
      <c r="O26" s="7">
        <v>5</v>
      </c>
      <c r="P26" s="7">
        <v>0</v>
      </c>
      <c r="Q26" s="6">
        <v>2</v>
      </c>
      <c r="R26" s="7">
        <v>0</v>
      </c>
      <c r="S26" s="14">
        <v>584</v>
      </c>
    </row>
    <row r="27" spans="1:19" ht="15">
      <c r="A27" s="5">
        <v>23</v>
      </c>
      <c r="B27" s="16" t="s">
        <v>43</v>
      </c>
      <c r="C27" s="8">
        <v>75</v>
      </c>
      <c r="D27" s="8">
        <v>252</v>
      </c>
      <c r="E27" s="5">
        <v>147</v>
      </c>
      <c r="F27" s="5">
        <v>0</v>
      </c>
      <c r="G27" s="15">
        <v>474</v>
      </c>
      <c r="H27" s="5">
        <v>4</v>
      </c>
      <c r="I27" s="5">
        <v>5</v>
      </c>
      <c r="J27" s="5">
        <v>0</v>
      </c>
      <c r="K27" s="7">
        <v>0</v>
      </c>
      <c r="L27" s="7">
        <v>0</v>
      </c>
      <c r="M27" s="6">
        <v>0</v>
      </c>
      <c r="N27" s="6">
        <v>0</v>
      </c>
      <c r="O27" s="7">
        <v>5</v>
      </c>
      <c r="P27" s="7">
        <v>0</v>
      </c>
      <c r="Q27" s="6">
        <v>2</v>
      </c>
      <c r="R27" s="7">
        <v>0</v>
      </c>
      <c r="S27" s="14">
        <v>482</v>
      </c>
    </row>
    <row r="28" spans="1:19" ht="15">
      <c r="A28" s="5">
        <v>24</v>
      </c>
      <c r="B28" s="16" t="s">
        <v>44</v>
      </c>
      <c r="C28" s="8">
        <v>165</v>
      </c>
      <c r="D28" s="8">
        <v>360</v>
      </c>
      <c r="E28" s="5">
        <v>9</v>
      </c>
      <c r="F28" s="5">
        <v>0</v>
      </c>
      <c r="G28" s="15">
        <v>534</v>
      </c>
      <c r="H28" s="5">
        <v>2</v>
      </c>
      <c r="I28" s="5">
        <v>5</v>
      </c>
      <c r="J28" s="5">
        <v>0</v>
      </c>
      <c r="K28" s="7">
        <v>0</v>
      </c>
      <c r="L28" s="7">
        <v>0</v>
      </c>
      <c r="M28" s="6">
        <v>0</v>
      </c>
      <c r="N28" s="6">
        <v>0</v>
      </c>
      <c r="O28" s="7">
        <v>5</v>
      </c>
      <c r="P28" s="7">
        <v>0</v>
      </c>
      <c r="Q28" s="6">
        <v>2</v>
      </c>
      <c r="R28" s="7">
        <v>2</v>
      </c>
      <c r="S28" s="14">
        <v>542</v>
      </c>
    </row>
    <row r="29" spans="1:19" ht="15">
      <c r="A29" s="5">
        <v>25</v>
      </c>
      <c r="B29" s="16" t="s">
        <v>45</v>
      </c>
      <c r="C29" s="8">
        <v>125</v>
      </c>
      <c r="D29" s="8">
        <v>296</v>
      </c>
      <c r="E29" s="5">
        <v>99</v>
      </c>
      <c r="F29" s="5">
        <v>6</v>
      </c>
      <c r="G29" s="15">
        <v>526</v>
      </c>
      <c r="H29" s="5">
        <v>0</v>
      </c>
      <c r="I29" s="5">
        <v>5</v>
      </c>
      <c r="J29" s="5">
        <v>0</v>
      </c>
      <c r="K29" s="7">
        <v>0</v>
      </c>
      <c r="L29" s="7">
        <v>0</v>
      </c>
      <c r="M29" s="6">
        <v>0</v>
      </c>
      <c r="N29" s="6">
        <v>0</v>
      </c>
      <c r="O29" s="7">
        <v>0</v>
      </c>
      <c r="P29" s="7">
        <v>0</v>
      </c>
      <c r="Q29" s="6">
        <v>2</v>
      </c>
      <c r="R29" s="7">
        <v>2</v>
      </c>
      <c r="S29" s="14">
        <v>531</v>
      </c>
    </row>
    <row r="30" spans="7:12" ht="15">
      <c r="G30" s="18"/>
      <c r="H30" s="18" t="s">
        <v>20</v>
      </c>
      <c r="I30" s="18"/>
      <c r="J30" s="18"/>
      <c r="K30" s="18" t="s">
        <v>46</v>
      </c>
      <c r="L30" s="18"/>
    </row>
    <row r="31" spans="7:12" ht="15">
      <c r="G31" s="18"/>
      <c r="H31" s="18"/>
      <c r="I31" s="18"/>
      <c r="J31" s="18"/>
      <c r="K31" s="18"/>
      <c r="L31" s="18"/>
    </row>
  </sheetData>
  <sheetProtection/>
  <mergeCells count="19">
    <mergeCell ref="A3:A4"/>
    <mergeCell ref="B3:B4"/>
    <mergeCell ref="M3:M4"/>
    <mergeCell ref="O3:O4"/>
    <mergeCell ref="D3:D4"/>
    <mergeCell ref="F3:F4"/>
    <mergeCell ref="N3:N4"/>
    <mergeCell ref="L3:L4"/>
    <mergeCell ref="G3:G4"/>
    <mergeCell ref="A1:S1"/>
    <mergeCell ref="S3:S4"/>
    <mergeCell ref="C3:C4"/>
    <mergeCell ref="E3:E4"/>
    <mergeCell ref="H3:H4"/>
    <mergeCell ref="I3:I4"/>
    <mergeCell ref="J3:J4"/>
    <mergeCell ref="K3:K4"/>
    <mergeCell ref="P3:P4"/>
    <mergeCell ref="R3:R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4">
      <selection activeCell="H5" sqref="H5"/>
    </sheetView>
  </sheetViews>
  <sheetFormatPr defaultColWidth="9.140625" defaultRowHeight="15"/>
  <sheetData>
    <row r="1" spans="1:19" ht="18.75">
      <c r="A1" s="303" t="s">
        <v>243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SUM(S5:S13)</f>
        <v>6992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51.75" thickBot="1">
      <c r="A5" s="26">
        <v>1</v>
      </c>
      <c r="B5" s="70" t="s">
        <v>244</v>
      </c>
      <c r="C5" s="26">
        <v>355</v>
      </c>
      <c r="D5" s="26">
        <v>308</v>
      </c>
      <c r="E5" s="26">
        <v>87</v>
      </c>
      <c r="F5" s="26">
        <v>0</v>
      </c>
      <c r="G5" s="28">
        <f>SUM(C5:F5)</f>
        <v>750</v>
      </c>
      <c r="H5" s="26">
        <v>0</v>
      </c>
      <c r="I5" s="26">
        <v>0</v>
      </c>
      <c r="J5" s="26">
        <v>0</v>
      </c>
      <c r="K5" s="29">
        <v>40</v>
      </c>
      <c r="L5" s="29">
        <v>5</v>
      </c>
      <c r="M5" s="29">
        <v>15</v>
      </c>
      <c r="N5" s="29">
        <v>3</v>
      </c>
      <c r="O5" s="29">
        <v>0</v>
      </c>
      <c r="P5" s="29">
        <v>0</v>
      </c>
      <c r="Q5" s="29">
        <v>5</v>
      </c>
      <c r="R5" s="29">
        <v>0</v>
      </c>
      <c r="S5" s="30">
        <f>SUM(G5:R5)</f>
        <v>818</v>
      </c>
    </row>
    <row r="6" spans="1:19" ht="51.75" thickBot="1">
      <c r="A6" s="26">
        <v>2</v>
      </c>
      <c r="B6" s="71" t="s">
        <v>245</v>
      </c>
      <c r="C6" s="26">
        <v>560</v>
      </c>
      <c r="D6" s="26">
        <v>248</v>
      </c>
      <c r="E6" s="26">
        <v>15</v>
      </c>
      <c r="F6" s="26">
        <v>0</v>
      </c>
      <c r="G6" s="28">
        <f aca="true" t="shared" si="0" ref="G6:G13">SUM(C6:F6)</f>
        <v>823</v>
      </c>
      <c r="H6" s="26">
        <v>0</v>
      </c>
      <c r="I6" s="26">
        <v>0</v>
      </c>
      <c r="J6" s="26">
        <v>0</v>
      </c>
      <c r="K6" s="31">
        <v>40</v>
      </c>
      <c r="L6" s="31">
        <v>5</v>
      </c>
      <c r="M6" s="29">
        <v>15</v>
      </c>
      <c r="N6" s="29">
        <v>3</v>
      </c>
      <c r="O6" s="31">
        <v>0</v>
      </c>
      <c r="P6" s="31">
        <v>0</v>
      </c>
      <c r="Q6" s="29">
        <v>5</v>
      </c>
      <c r="R6" s="31">
        <v>2</v>
      </c>
      <c r="S6" s="30">
        <f aca="true" t="shared" si="1" ref="S6:S13">SUM(G6:R6)</f>
        <v>893</v>
      </c>
    </row>
    <row r="7" spans="1:19" ht="64.5" thickBot="1">
      <c r="A7" s="26">
        <v>3</v>
      </c>
      <c r="B7" s="71" t="s">
        <v>246</v>
      </c>
      <c r="C7" s="26">
        <v>225</v>
      </c>
      <c r="D7" s="26">
        <v>296</v>
      </c>
      <c r="E7" s="26">
        <v>123</v>
      </c>
      <c r="F7" s="26">
        <v>0</v>
      </c>
      <c r="G7" s="28">
        <f t="shared" si="0"/>
        <v>644</v>
      </c>
      <c r="H7" s="26">
        <v>0</v>
      </c>
      <c r="I7" s="26">
        <v>0</v>
      </c>
      <c r="J7" s="26">
        <v>0</v>
      </c>
      <c r="K7" s="31">
        <v>40</v>
      </c>
      <c r="L7" s="31">
        <v>5</v>
      </c>
      <c r="M7" s="29">
        <v>15</v>
      </c>
      <c r="N7" s="29">
        <v>0</v>
      </c>
      <c r="O7" s="31">
        <v>0</v>
      </c>
      <c r="P7" s="31">
        <v>0</v>
      </c>
      <c r="Q7" s="29">
        <v>5</v>
      </c>
      <c r="R7" s="31">
        <v>0</v>
      </c>
      <c r="S7" s="30">
        <f t="shared" si="1"/>
        <v>709</v>
      </c>
    </row>
    <row r="8" spans="1:19" ht="64.5" thickBot="1">
      <c r="A8" s="26">
        <v>4</v>
      </c>
      <c r="B8" s="71" t="s">
        <v>247</v>
      </c>
      <c r="C8" s="26">
        <v>525</v>
      </c>
      <c r="D8" s="26">
        <v>212</v>
      </c>
      <c r="E8" s="26">
        <v>54</v>
      </c>
      <c r="F8" s="26">
        <v>0</v>
      </c>
      <c r="G8" s="28">
        <f t="shared" si="0"/>
        <v>791</v>
      </c>
      <c r="H8" s="26">
        <v>0</v>
      </c>
      <c r="I8" s="26">
        <v>0</v>
      </c>
      <c r="J8" s="26">
        <v>0</v>
      </c>
      <c r="K8" s="31">
        <v>40</v>
      </c>
      <c r="L8" s="31">
        <v>5</v>
      </c>
      <c r="M8" s="29">
        <v>15</v>
      </c>
      <c r="N8" s="29">
        <v>0</v>
      </c>
      <c r="O8" s="31">
        <v>0</v>
      </c>
      <c r="P8" s="31">
        <v>0</v>
      </c>
      <c r="Q8" s="29">
        <v>5</v>
      </c>
      <c r="R8" s="31">
        <v>0</v>
      </c>
      <c r="S8" s="30">
        <f t="shared" si="1"/>
        <v>856</v>
      </c>
    </row>
    <row r="9" spans="1:19" ht="39" thickBot="1">
      <c r="A9" s="26">
        <v>5</v>
      </c>
      <c r="B9" s="71" t="s">
        <v>248</v>
      </c>
      <c r="C9" s="26">
        <v>270</v>
      </c>
      <c r="D9" s="26">
        <v>344</v>
      </c>
      <c r="E9" s="26">
        <v>96</v>
      </c>
      <c r="F9" s="26">
        <v>0</v>
      </c>
      <c r="G9" s="28">
        <f t="shared" si="0"/>
        <v>710</v>
      </c>
      <c r="H9" s="26">
        <v>0</v>
      </c>
      <c r="I9" s="26">
        <v>0</v>
      </c>
      <c r="J9" s="26">
        <v>0</v>
      </c>
      <c r="K9" s="31">
        <v>40</v>
      </c>
      <c r="L9" s="31">
        <v>5</v>
      </c>
      <c r="M9" s="29">
        <v>15</v>
      </c>
      <c r="N9" s="29">
        <v>0</v>
      </c>
      <c r="O9" s="31">
        <v>0</v>
      </c>
      <c r="P9" s="31">
        <v>0</v>
      </c>
      <c r="Q9" s="29">
        <v>5</v>
      </c>
      <c r="R9" s="31">
        <v>0</v>
      </c>
      <c r="S9" s="30">
        <f t="shared" si="1"/>
        <v>775</v>
      </c>
    </row>
    <row r="10" spans="1:19" ht="64.5" thickBot="1">
      <c r="A10" s="26">
        <v>6</v>
      </c>
      <c r="B10" s="71" t="s">
        <v>249</v>
      </c>
      <c r="C10" s="26">
        <v>345</v>
      </c>
      <c r="D10" s="26">
        <v>312</v>
      </c>
      <c r="E10" s="26">
        <v>75</v>
      </c>
      <c r="F10" s="26">
        <v>0</v>
      </c>
      <c r="G10" s="28">
        <f t="shared" si="0"/>
        <v>732</v>
      </c>
      <c r="H10" s="26">
        <v>0</v>
      </c>
      <c r="I10" s="26">
        <v>0</v>
      </c>
      <c r="J10" s="26">
        <v>0</v>
      </c>
      <c r="K10" s="31">
        <v>0</v>
      </c>
      <c r="L10" s="31">
        <v>5</v>
      </c>
      <c r="M10" s="29">
        <v>15</v>
      </c>
      <c r="N10" s="29">
        <v>0</v>
      </c>
      <c r="O10" s="31">
        <v>0</v>
      </c>
      <c r="P10" s="31">
        <v>0</v>
      </c>
      <c r="Q10" s="29">
        <v>5</v>
      </c>
      <c r="R10" s="31">
        <v>0</v>
      </c>
      <c r="S10" s="30">
        <f t="shared" si="1"/>
        <v>757</v>
      </c>
    </row>
    <row r="11" spans="1:19" ht="51.75" thickBot="1">
      <c r="A11" s="26">
        <v>7</v>
      </c>
      <c r="B11" s="71" t="s">
        <v>250</v>
      </c>
      <c r="C11" s="26">
        <v>80</v>
      </c>
      <c r="D11" s="26">
        <v>260</v>
      </c>
      <c r="E11" s="26">
        <v>234</v>
      </c>
      <c r="F11" s="26">
        <v>2</v>
      </c>
      <c r="G11" s="28">
        <f t="shared" si="0"/>
        <v>576</v>
      </c>
      <c r="H11" s="26">
        <v>0</v>
      </c>
      <c r="I11" s="26">
        <v>0</v>
      </c>
      <c r="J11" s="26">
        <v>0</v>
      </c>
      <c r="K11" s="31">
        <v>0</v>
      </c>
      <c r="L11" s="31">
        <v>5</v>
      </c>
      <c r="M11" s="29">
        <v>15</v>
      </c>
      <c r="N11" s="29">
        <v>0</v>
      </c>
      <c r="O11" s="31">
        <v>0</v>
      </c>
      <c r="P11" s="31">
        <v>0</v>
      </c>
      <c r="Q11" s="29">
        <v>5</v>
      </c>
      <c r="R11" s="31">
        <v>0</v>
      </c>
      <c r="S11" s="30">
        <f t="shared" si="1"/>
        <v>601</v>
      </c>
    </row>
    <row r="12" spans="1:19" ht="39" thickBot="1">
      <c r="A12" s="26">
        <v>8</v>
      </c>
      <c r="B12" s="71" t="s">
        <v>251</v>
      </c>
      <c r="C12" s="26">
        <v>230</v>
      </c>
      <c r="D12" s="26">
        <v>324</v>
      </c>
      <c r="E12" s="26">
        <v>150</v>
      </c>
      <c r="F12" s="26"/>
      <c r="G12" s="28">
        <f t="shared" si="0"/>
        <v>704</v>
      </c>
      <c r="H12" s="26">
        <v>0</v>
      </c>
      <c r="I12" s="26">
        <v>0</v>
      </c>
      <c r="J12" s="26">
        <v>0</v>
      </c>
      <c r="K12" s="31">
        <v>40</v>
      </c>
      <c r="L12" s="31">
        <v>5</v>
      </c>
      <c r="M12" s="29">
        <v>15</v>
      </c>
      <c r="N12" s="29">
        <v>3</v>
      </c>
      <c r="O12" s="31">
        <v>0</v>
      </c>
      <c r="P12" s="31">
        <v>0</v>
      </c>
      <c r="Q12" s="29">
        <v>5</v>
      </c>
      <c r="R12" s="31">
        <v>2</v>
      </c>
      <c r="S12" s="30">
        <f t="shared" si="1"/>
        <v>774</v>
      </c>
    </row>
    <row r="13" spans="1:19" ht="64.5" thickBot="1">
      <c r="A13" s="32">
        <v>9</v>
      </c>
      <c r="B13" s="71" t="s">
        <v>252</v>
      </c>
      <c r="C13" s="26">
        <v>315</v>
      </c>
      <c r="D13" s="26">
        <v>372</v>
      </c>
      <c r="E13" s="26">
        <v>57</v>
      </c>
      <c r="F13" s="32">
        <v>0</v>
      </c>
      <c r="G13" s="28">
        <f t="shared" si="0"/>
        <v>744</v>
      </c>
      <c r="H13" s="32">
        <v>0</v>
      </c>
      <c r="I13" s="32">
        <v>0</v>
      </c>
      <c r="J13" s="32">
        <v>0</v>
      </c>
      <c r="K13" s="34">
        <v>40</v>
      </c>
      <c r="L13" s="34">
        <v>5</v>
      </c>
      <c r="M13" s="32">
        <v>15</v>
      </c>
      <c r="N13" s="32">
        <v>0</v>
      </c>
      <c r="O13" s="34">
        <v>0</v>
      </c>
      <c r="P13" s="34">
        <v>0</v>
      </c>
      <c r="Q13" s="32">
        <v>5</v>
      </c>
      <c r="R13" s="34">
        <v>0</v>
      </c>
      <c r="S13" s="30">
        <f t="shared" si="1"/>
        <v>809</v>
      </c>
    </row>
    <row r="14" spans="7:12" ht="15">
      <c r="G14" s="55"/>
      <c r="H14" s="55" t="s">
        <v>253</v>
      </c>
      <c r="I14" s="55"/>
      <c r="J14" s="55"/>
      <c r="K14" s="55"/>
      <c r="L14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28"/>
    </sheetView>
  </sheetViews>
  <sheetFormatPr defaultColWidth="9.140625" defaultRowHeight="15"/>
  <sheetData>
    <row r="1" spans="1:19" ht="18.75">
      <c r="A1" s="303" t="s">
        <v>254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SUM(S5:S27)</f>
        <v>15309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35.25" thickBot="1">
      <c r="A5" s="26">
        <v>1</v>
      </c>
      <c r="B5" s="72" t="s">
        <v>255</v>
      </c>
      <c r="C5" s="26">
        <v>100</v>
      </c>
      <c r="D5" s="26">
        <v>296</v>
      </c>
      <c r="E5" s="26">
        <v>60</v>
      </c>
      <c r="F5" s="26"/>
      <c r="G5" s="28">
        <v>465</v>
      </c>
      <c r="H5" s="26"/>
      <c r="I5" s="26"/>
      <c r="J5" s="26"/>
      <c r="K5" s="29"/>
      <c r="L5" s="29"/>
      <c r="M5" s="29"/>
      <c r="N5" s="29"/>
      <c r="O5" s="29"/>
      <c r="P5" s="29"/>
      <c r="Q5" s="29">
        <v>5</v>
      </c>
      <c r="R5" s="29"/>
      <c r="S5" s="30">
        <v>470</v>
      </c>
    </row>
    <row r="6" spans="1:19" ht="35.25" thickBot="1">
      <c r="A6" s="26">
        <v>2</v>
      </c>
      <c r="B6" s="73" t="s">
        <v>256</v>
      </c>
      <c r="C6" s="26">
        <v>195</v>
      </c>
      <c r="D6" s="26">
        <v>368</v>
      </c>
      <c r="E6" s="26">
        <v>54</v>
      </c>
      <c r="F6" s="26"/>
      <c r="G6" s="28">
        <v>617</v>
      </c>
      <c r="H6" s="26"/>
      <c r="I6" s="26"/>
      <c r="J6" s="26"/>
      <c r="K6" s="31">
        <v>30</v>
      </c>
      <c r="L6" s="31"/>
      <c r="M6" s="29"/>
      <c r="N6" s="29"/>
      <c r="O6" s="31"/>
      <c r="P6" s="31"/>
      <c r="Q6" s="29">
        <v>5</v>
      </c>
      <c r="R6" s="31"/>
      <c r="S6" s="30">
        <v>622</v>
      </c>
    </row>
    <row r="7" spans="1:19" ht="35.25" thickBot="1">
      <c r="A7" s="26">
        <v>3</v>
      </c>
      <c r="B7" s="72" t="s">
        <v>257</v>
      </c>
      <c r="C7" s="26">
        <v>270</v>
      </c>
      <c r="D7" s="26">
        <v>324</v>
      </c>
      <c r="E7" s="26">
        <v>60</v>
      </c>
      <c r="F7" s="26"/>
      <c r="G7" s="28">
        <v>654</v>
      </c>
      <c r="H7" s="26"/>
      <c r="I7" s="26"/>
      <c r="J7" s="26"/>
      <c r="K7" s="31"/>
      <c r="L7" s="31"/>
      <c r="M7" s="29"/>
      <c r="N7" s="29"/>
      <c r="O7" s="31"/>
      <c r="P7" s="31"/>
      <c r="Q7" s="29">
        <v>5</v>
      </c>
      <c r="R7" s="31"/>
      <c r="S7" s="30">
        <v>659</v>
      </c>
    </row>
    <row r="8" spans="1:19" ht="46.5" thickBot="1">
      <c r="A8" s="26">
        <v>4</v>
      </c>
      <c r="B8" s="73" t="s">
        <v>258</v>
      </c>
      <c r="C8" s="26">
        <v>170</v>
      </c>
      <c r="D8" s="26">
        <v>320</v>
      </c>
      <c r="E8" s="26">
        <v>117</v>
      </c>
      <c r="F8" s="26"/>
      <c r="G8" s="28">
        <v>607</v>
      </c>
      <c r="H8" s="26"/>
      <c r="I8" s="26"/>
      <c r="J8" s="26"/>
      <c r="K8" s="31">
        <v>30</v>
      </c>
      <c r="L8" s="31"/>
      <c r="M8" s="29"/>
      <c r="N8" s="29"/>
      <c r="O8" s="31"/>
      <c r="P8" s="31"/>
      <c r="Q8" s="29">
        <v>5</v>
      </c>
      <c r="R8" s="31"/>
      <c r="S8" s="30">
        <v>612</v>
      </c>
    </row>
    <row r="9" spans="1:19" ht="35.25" thickBot="1">
      <c r="A9" s="26">
        <v>5</v>
      </c>
      <c r="B9" s="73" t="s">
        <v>259</v>
      </c>
      <c r="C9" s="26">
        <v>970</v>
      </c>
      <c r="D9" s="26">
        <v>72</v>
      </c>
      <c r="E9" s="26">
        <v>6</v>
      </c>
      <c r="F9" s="26"/>
      <c r="G9" s="28">
        <v>748</v>
      </c>
      <c r="H9" s="26"/>
      <c r="I9" s="26"/>
      <c r="J9" s="26"/>
      <c r="K9" s="31">
        <v>30</v>
      </c>
      <c r="L9" s="31"/>
      <c r="M9" s="29"/>
      <c r="N9" s="29">
        <v>5</v>
      </c>
      <c r="O9" s="31"/>
      <c r="P9" s="31"/>
      <c r="Q9" s="29">
        <v>5</v>
      </c>
      <c r="R9" s="31"/>
      <c r="S9" s="30">
        <v>756</v>
      </c>
    </row>
    <row r="10" spans="1:19" ht="35.25" thickBot="1">
      <c r="A10" s="26">
        <v>6</v>
      </c>
      <c r="B10" s="72" t="s">
        <v>260</v>
      </c>
      <c r="C10" s="26">
        <v>135</v>
      </c>
      <c r="D10" s="26">
        <v>308</v>
      </c>
      <c r="E10" s="26">
        <v>60</v>
      </c>
      <c r="F10" s="26"/>
      <c r="G10" s="28">
        <v>503</v>
      </c>
      <c r="H10" s="26"/>
      <c r="I10" s="26"/>
      <c r="J10" s="26"/>
      <c r="K10" s="31"/>
      <c r="L10" s="31"/>
      <c r="M10" s="29"/>
      <c r="N10" s="29"/>
      <c r="O10" s="31"/>
      <c r="P10" s="31"/>
      <c r="Q10" s="29">
        <v>5</v>
      </c>
      <c r="R10" s="31"/>
      <c r="S10" s="30">
        <v>508</v>
      </c>
    </row>
    <row r="11" spans="1:19" ht="46.5" thickBot="1">
      <c r="A11" s="26">
        <v>7</v>
      </c>
      <c r="B11" s="73" t="s">
        <v>261</v>
      </c>
      <c r="C11" s="26">
        <v>320</v>
      </c>
      <c r="D11" s="26">
        <v>176</v>
      </c>
      <c r="E11" s="26">
        <v>3</v>
      </c>
      <c r="F11" s="26"/>
      <c r="G11" s="28">
        <v>499</v>
      </c>
      <c r="H11" s="26"/>
      <c r="I11" s="26"/>
      <c r="J11" s="26"/>
      <c r="K11" s="31">
        <v>30</v>
      </c>
      <c r="L11" s="31"/>
      <c r="M11" s="29"/>
      <c r="N11" s="29">
        <v>5</v>
      </c>
      <c r="O11" s="31"/>
      <c r="P11" s="31"/>
      <c r="Q11" s="29">
        <v>5</v>
      </c>
      <c r="R11" s="31"/>
      <c r="S11" s="30">
        <v>504</v>
      </c>
    </row>
    <row r="12" spans="1:19" ht="24" thickBot="1">
      <c r="A12" s="26">
        <v>8</v>
      </c>
      <c r="B12" s="73" t="s">
        <v>262</v>
      </c>
      <c r="C12" s="26">
        <v>190</v>
      </c>
      <c r="D12" s="26">
        <v>304</v>
      </c>
      <c r="E12" s="26">
        <v>72</v>
      </c>
      <c r="F12" s="26"/>
      <c r="G12" s="28">
        <v>566</v>
      </c>
      <c r="H12" s="26"/>
      <c r="I12" s="26"/>
      <c r="J12" s="26"/>
      <c r="K12" s="31">
        <v>30</v>
      </c>
      <c r="L12" s="31"/>
      <c r="M12" s="29"/>
      <c r="N12" s="29"/>
      <c r="O12" s="31"/>
      <c r="P12" s="31"/>
      <c r="Q12" s="29">
        <v>5</v>
      </c>
      <c r="R12" s="31"/>
      <c r="S12" s="30">
        <v>591</v>
      </c>
    </row>
    <row r="13" spans="1:19" ht="35.25" thickBot="1">
      <c r="A13" s="32">
        <v>9</v>
      </c>
      <c r="B13" s="73" t="s">
        <v>263</v>
      </c>
      <c r="C13" s="26">
        <v>180</v>
      </c>
      <c r="D13" s="26">
        <v>324</v>
      </c>
      <c r="E13" s="26">
        <v>81</v>
      </c>
      <c r="F13" s="32"/>
      <c r="G13" s="28">
        <v>585</v>
      </c>
      <c r="H13" s="32"/>
      <c r="I13" s="32"/>
      <c r="J13" s="32"/>
      <c r="K13" s="34">
        <v>30</v>
      </c>
      <c r="L13" s="34"/>
      <c r="M13" s="32"/>
      <c r="N13" s="32"/>
      <c r="O13" s="34"/>
      <c r="P13" s="34"/>
      <c r="Q13" s="32">
        <v>5</v>
      </c>
      <c r="R13" s="34"/>
      <c r="S13" s="30">
        <v>590</v>
      </c>
    </row>
    <row r="14" spans="1:19" ht="46.5" thickBot="1">
      <c r="A14" s="32">
        <v>10</v>
      </c>
      <c r="B14" s="73" t="s">
        <v>264</v>
      </c>
      <c r="C14" s="26">
        <v>390</v>
      </c>
      <c r="D14" s="26">
        <v>200</v>
      </c>
      <c r="E14" s="26">
        <v>9</v>
      </c>
      <c r="F14" s="32"/>
      <c r="G14" s="28">
        <v>599</v>
      </c>
      <c r="H14" s="32"/>
      <c r="I14" s="32"/>
      <c r="J14" s="32"/>
      <c r="K14" s="34">
        <v>30</v>
      </c>
      <c r="L14" s="34"/>
      <c r="M14" s="32"/>
      <c r="N14" s="32">
        <v>8</v>
      </c>
      <c r="O14" s="34"/>
      <c r="P14" s="34"/>
      <c r="Q14" s="32">
        <v>5</v>
      </c>
      <c r="R14" s="34"/>
      <c r="S14" s="30">
        <v>647</v>
      </c>
    </row>
    <row r="15" spans="1:19" ht="57.75" thickBot="1">
      <c r="A15" s="26">
        <v>11</v>
      </c>
      <c r="B15" s="72" t="s">
        <v>265</v>
      </c>
      <c r="C15" s="26">
        <v>220</v>
      </c>
      <c r="D15" s="26">
        <v>372</v>
      </c>
      <c r="E15" s="26">
        <v>42</v>
      </c>
      <c r="F15" s="26"/>
      <c r="G15" s="28">
        <v>634</v>
      </c>
      <c r="H15" s="26"/>
      <c r="I15" s="26"/>
      <c r="J15" s="26"/>
      <c r="K15" s="31">
        <v>30</v>
      </c>
      <c r="L15" s="31"/>
      <c r="M15" s="29"/>
      <c r="N15" s="29"/>
      <c r="O15" s="31"/>
      <c r="P15" s="31"/>
      <c r="Q15" s="29">
        <v>5</v>
      </c>
      <c r="R15" s="31"/>
      <c r="S15" s="30">
        <v>659</v>
      </c>
    </row>
    <row r="16" spans="1:19" ht="35.25" thickBot="1">
      <c r="A16" s="32">
        <v>12</v>
      </c>
      <c r="B16" s="73" t="s">
        <v>266</v>
      </c>
      <c r="C16" s="26">
        <v>235</v>
      </c>
      <c r="D16" s="26">
        <v>336</v>
      </c>
      <c r="E16" s="26">
        <v>36</v>
      </c>
      <c r="F16" s="32"/>
      <c r="G16" s="28">
        <v>607</v>
      </c>
      <c r="H16" s="32"/>
      <c r="I16" s="32"/>
      <c r="J16" s="32"/>
      <c r="K16" s="34">
        <v>30</v>
      </c>
      <c r="L16" s="34"/>
      <c r="M16" s="32"/>
      <c r="N16" s="32"/>
      <c r="O16" s="34"/>
      <c r="P16" s="34"/>
      <c r="Q16" s="32">
        <v>5</v>
      </c>
      <c r="R16" s="34"/>
      <c r="S16" s="30">
        <v>612</v>
      </c>
    </row>
    <row r="17" spans="1:19" ht="46.5" thickBot="1">
      <c r="A17" s="26">
        <v>13</v>
      </c>
      <c r="B17" s="73" t="s">
        <v>267</v>
      </c>
      <c r="C17" s="26">
        <v>295</v>
      </c>
      <c r="D17" s="26">
        <v>400</v>
      </c>
      <c r="E17" s="26">
        <v>48</v>
      </c>
      <c r="F17" s="26"/>
      <c r="G17" s="28">
        <v>743</v>
      </c>
      <c r="H17" s="26"/>
      <c r="I17" s="26"/>
      <c r="J17" s="26"/>
      <c r="K17" s="31">
        <v>30</v>
      </c>
      <c r="L17" s="31"/>
      <c r="M17" s="29"/>
      <c r="N17" s="29"/>
      <c r="O17" s="31"/>
      <c r="P17" s="31"/>
      <c r="Q17" s="29">
        <v>5</v>
      </c>
      <c r="R17" s="31"/>
      <c r="S17" s="30">
        <v>748</v>
      </c>
    </row>
    <row r="18" spans="1:19" ht="46.5" thickBot="1">
      <c r="A18" s="26">
        <v>14</v>
      </c>
      <c r="B18" s="73" t="s">
        <v>268</v>
      </c>
      <c r="C18" s="26">
        <v>230</v>
      </c>
      <c r="D18" s="26">
        <v>420</v>
      </c>
      <c r="E18" s="26">
        <v>36</v>
      </c>
      <c r="F18" s="26">
        <v>-40</v>
      </c>
      <c r="G18" s="28">
        <v>688</v>
      </c>
      <c r="H18" s="26"/>
      <c r="I18" s="26"/>
      <c r="J18" s="26"/>
      <c r="K18" s="31">
        <v>30</v>
      </c>
      <c r="L18" s="31"/>
      <c r="M18" s="29"/>
      <c r="N18" s="29"/>
      <c r="O18" s="31"/>
      <c r="P18" s="31"/>
      <c r="Q18" s="29">
        <v>5</v>
      </c>
      <c r="R18" s="31"/>
      <c r="S18" s="30">
        <v>713</v>
      </c>
    </row>
    <row r="19" spans="1:19" ht="35.25" thickBot="1">
      <c r="A19" s="26">
        <v>15</v>
      </c>
      <c r="B19" s="73" t="s">
        <v>269</v>
      </c>
      <c r="C19" s="26">
        <v>300</v>
      </c>
      <c r="D19" s="26">
        <v>540</v>
      </c>
      <c r="E19" s="26">
        <v>15</v>
      </c>
      <c r="F19" s="26"/>
      <c r="G19" s="28">
        <v>845</v>
      </c>
      <c r="H19" s="26"/>
      <c r="I19" s="26"/>
      <c r="J19" s="26"/>
      <c r="K19" s="31">
        <v>30</v>
      </c>
      <c r="L19" s="31"/>
      <c r="M19" s="29"/>
      <c r="N19" s="29"/>
      <c r="O19" s="31"/>
      <c r="P19" s="31"/>
      <c r="Q19" s="29">
        <v>5</v>
      </c>
      <c r="R19" s="31"/>
      <c r="S19" s="30">
        <v>870</v>
      </c>
    </row>
    <row r="20" spans="1:19" ht="46.5" thickBot="1">
      <c r="A20" s="26">
        <v>16</v>
      </c>
      <c r="B20" s="72" t="s">
        <v>270</v>
      </c>
      <c r="C20" s="26">
        <v>320</v>
      </c>
      <c r="D20" s="26">
        <v>360</v>
      </c>
      <c r="E20" s="26">
        <v>39</v>
      </c>
      <c r="F20" s="26"/>
      <c r="G20" s="28">
        <v>719</v>
      </c>
      <c r="H20" s="26"/>
      <c r="I20" s="26"/>
      <c r="J20" s="26"/>
      <c r="K20" s="31">
        <v>30</v>
      </c>
      <c r="L20" s="31"/>
      <c r="M20" s="29"/>
      <c r="N20" s="29"/>
      <c r="O20" s="31"/>
      <c r="P20" s="31"/>
      <c r="Q20" s="29">
        <v>5</v>
      </c>
      <c r="R20" s="31"/>
      <c r="S20" s="30">
        <v>744</v>
      </c>
    </row>
    <row r="21" spans="1:19" ht="35.25" thickBot="1">
      <c r="A21" s="26">
        <v>17</v>
      </c>
      <c r="B21" s="73" t="s">
        <v>271</v>
      </c>
      <c r="C21" s="26">
        <v>260</v>
      </c>
      <c r="D21" s="26">
        <v>412</v>
      </c>
      <c r="E21" s="26">
        <v>48</v>
      </c>
      <c r="F21" s="26"/>
      <c r="G21" s="28">
        <v>720</v>
      </c>
      <c r="H21" s="26"/>
      <c r="I21" s="26"/>
      <c r="J21" s="26"/>
      <c r="K21" s="31"/>
      <c r="L21" s="31"/>
      <c r="M21" s="29"/>
      <c r="N21" s="29"/>
      <c r="O21" s="31"/>
      <c r="P21" s="31"/>
      <c r="Q21" s="29">
        <v>5</v>
      </c>
      <c r="R21" s="31"/>
      <c r="S21" s="30">
        <v>733</v>
      </c>
    </row>
    <row r="22" spans="1:19" ht="35.25" thickBot="1">
      <c r="A22" s="26">
        <v>18</v>
      </c>
      <c r="B22" s="73" t="s">
        <v>272</v>
      </c>
      <c r="C22" s="26">
        <v>295</v>
      </c>
      <c r="D22" s="26">
        <v>380</v>
      </c>
      <c r="E22" s="26">
        <v>21</v>
      </c>
      <c r="F22" s="26"/>
      <c r="G22" s="28">
        <v>696</v>
      </c>
      <c r="H22" s="26"/>
      <c r="I22" s="26"/>
      <c r="J22" s="26"/>
      <c r="K22" s="31">
        <v>30</v>
      </c>
      <c r="L22" s="31"/>
      <c r="M22" s="29"/>
      <c r="N22" s="29"/>
      <c r="O22" s="31"/>
      <c r="P22" s="31"/>
      <c r="Q22" s="29">
        <v>5</v>
      </c>
      <c r="R22" s="31"/>
      <c r="S22" s="30">
        <v>701</v>
      </c>
    </row>
    <row r="23" spans="1:19" ht="46.5" thickBot="1">
      <c r="A23" s="26">
        <v>19</v>
      </c>
      <c r="B23" s="73" t="s">
        <v>273</v>
      </c>
      <c r="C23" s="26">
        <v>335</v>
      </c>
      <c r="D23" s="26">
        <v>324</v>
      </c>
      <c r="E23" s="26">
        <v>54</v>
      </c>
      <c r="F23" s="26"/>
      <c r="G23" s="28">
        <v>713</v>
      </c>
      <c r="H23" s="26"/>
      <c r="I23" s="26"/>
      <c r="J23" s="26"/>
      <c r="K23" s="31">
        <v>30</v>
      </c>
      <c r="L23" s="31"/>
      <c r="M23" s="29"/>
      <c r="N23" s="29"/>
      <c r="O23" s="31"/>
      <c r="P23" s="31"/>
      <c r="Q23" s="29">
        <v>5</v>
      </c>
      <c r="R23" s="31"/>
      <c r="S23" s="30">
        <v>718</v>
      </c>
    </row>
    <row r="24" spans="1:19" ht="46.5" thickBot="1">
      <c r="A24" s="26">
        <v>20</v>
      </c>
      <c r="B24" s="73" t="s">
        <v>274</v>
      </c>
      <c r="C24" s="26">
        <v>290</v>
      </c>
      <c r="D24" s="26">
        <v>388</v>
      </c>
      <c r="E24" s="26">
        <v>3</v>
      </c>
      <c r="F24" s="26"/>
      <c r="G24" s="28">
        <v>618</v>
      </c>
      <c r="H24" s="26"/>
      <c r="I24" s="26"/>
      <c r="J24" s="26"/>
      <c r="K24" s="31">
        <v>30</v>
      </c>
      <c r="L24" s="31"/>
      <c r="M24" s="29"/>
      <c r="N24" s="29"/>
      <c r="O24" s="31"/>
      <c r="P24" s="31"/>
      <c r="Q24" s="29">
        <v>5</v>
      </c>
      <c r="R24" s="31"/>
      <c r="S24" s="30">
        <v>623</v>
      </c>
    </row>
    <row r="25" spans="1:19" ht="35.25" thickBot="1">
      <c r="A25" s="26">
        <v>21</v>
      </c>
      <c r="B25" s="73" t="s">
        <v>275</v>
      </c>
      <c r="C25" s="8">
        <v>500</v>
      </c>
      <c r="D25" s="8">
        <v>276</v>
      </c>
      <c r="E25" s="26">
        <v>24</v>
      </c>
      <c r="F25" s="26"/>
      <c r="G25" s="28">
        <v>800</v>
      </c>
      <c r="H25" s="26"/>
      <c r="I25" s="26"/>
      <c r="J25" s="26"/>
      <c r="K25" s="31">
        <v>30</v>
      </c>
      <c r="L25" s="31"/>
      <c r="M25" s="29"/>
      <c r="N25" s="29"/>
      <c r="O25" s="31"/>
      <c r="P25" s="31"/>
      <c r="Q25" s="29">
        <v>5</v>
      </c>
      <c r="R25" s="31"/>
      <c r="S25" s="30">
        <v>845</v>
      </c>
    </row>
    <row r="26" spans="1:19" ht="46.5" thickBot="1">
      <c r="A26" s="26">
        <v>22</v>
      </c>
      <c r="B26" s="73" t="s">
        <v>276</v>
      </c>
      <c r="C26" s="8">
        <v>110</v>
      </c>
      <c r="D26" s="8">
        <v>432</v>
      </c>
      <c r="E26" s="26">
        <v>6</v>
      </c>
      <c r="F26" s="26">
        <v>-40</v>
      </c>
      <c r="G26" s="28">
        <v>554</v>
      </c>
      <c r="H26" s="26"/>
      <c r="I26" s="26"/>
      <c r="J26" s="26"/>
      <c r="K26" s="31">
        <v>30</v>
      </c>
      <c r="L26" s="31"/>
      <c r="M26" s="29"/>
      <c r="N26" s="29"/>
      <c r="O26" s="31"/>
      <c r="P26" s="31"/>
      <c r="Q26" s="29">
        <v>5</v>
      </c>
      <c r="R26" s="31"/>
      <c r="S26" s="30">
        <v>559</v>
      </c>
    </row>
    <row r="27" spans="1:19" ht="35.25" thickBot="1">
      <c r="A27" s="26">
        <v>23</v>
      </c>
      <c r="B27" s="73" t="s">
        <v>277</v>
      </c>
      <c r="C27" s="8">
        <v>575</v>
      </c>
      <c r="D27" s="8">
        <v>176</v>
      </c>
      <c r="E27" s="26">
        <v>9</v>
      </c>
      <c r="F27" s="26"/>
      <c r="G27" s="28">
        <v>760</v>
      </c>
      <c r="H27" s="26"/>
      <c r="I27" s="26"/>
      <c r="J27" s="26"/>
      <c r="K27" s="31">
        <v>30</v>
      </c>
      <c r="L27" s="31"/>
      <c r="M27" s="29"/>
      <c r="N27" s="29"/>
      <c r="O27" s="31"/>
      <c r="P27" s="31"/>
      <c r="Q27" s="29">
        <v>5</v>
      </c>
      <c r="R27" s="31"/>
      <c r="S27" s="30">
        <v>825</v>
      </c>
    </row>
    <row r="28" spans="7:12" ht="15">
      <c r="G28" s="55"/>
      <c r="H28" s="55" t="s">
        <v>20</v>
      </c>
      <c r="I28" s="55"/>
      <c r="J28" s="55"/>
      <c r="K28" s="55" t="s">
        <v>278</v>
      </c>
      <c r="L28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S30"/>
    </sheetView>
  </sheetViews>
  <sheetFormatPr defaultColWidth="9.140625" defaultRowHeight="15"/>
  <sheetData>
    <row r="1" spans="1:19" ht="15">
      <c r="A1" s="321" t="s">
        <v>280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76"/>
      <c r="B2" s="20"/>
      <c r="C2" s="76"/>
      <c r="D2" s="76"/>
      <c r="E2" s="76"/>
      <c r="F2" s="76"/>
      <c r="G2" s="77"/>
      <c r="H2" s="78"/>
      <c r="I2" s="78"/>
      <c r="J2" s="78"/>
      <c r="K2" s="78"/>
      <c r="L2" s="78"/>
      <c r="M2" s="78"/>
      <c r="N2" s="78"/>
      <c r="O2" s="78"/>
      <c r="P2" s="79" t="s">
        <v>0</v>
      </c>
      <c r="Q2" s="79"/>
      <c r="R2" s="79"/>
      <c r="S2" s="79">
        <f>SUM(S5:S28)</f>
        <v>13535</v>
      </c>
    </row>
    <row r="3" spans="1:19" ht="1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34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319" t="s">
        <v>18</v>
      </c>
      <c r="R3" s="306" t="s">
        <v>6</v>
      </c>
      <c r="S3" s="310" t="s">
        <v>3</v>
      </c>
    </row>
    <row r="4" spans="1:19" ht="15">
      <c r="A4" s="305"/>
      <c r="B4" s="333"/>
      <c r="C4" s="332"/>
      <c r="D4" s="332"/>
      <c r="E4" s="332"/>
      <c r="F4" s="332"/>
      <c r="G4" s="335"/>
      <c r="H4" s="332"/>
      <c r="I4" s="332"/>
      <c r="J4" s="332"/>
      <c r="K4" s="332"/>
      <c r="L4" s="332"/>
      <c r="M4" s="332"/>
      <c r="N4" s="332"/>
      <c r="O4" s="332"/>
      <c r="P4" s="332"/>
      <c r="Q4" s="336"/>
      <c r="R4" s="332"/>
      <c r="S4" s="310"/>
    </row>
    <row r="5" spans="1:19" ht="47.25">
      <c r="A5" s="80">
        <v>1</v>
      </c>
      <c r="B5" s="81" t="s">
        <v>281</v>
      </c>
      <c r="C5" s="82">
        <v>103</v>
      </c>
      <c r="D5" s="83">
        <v>34</v>
      </c>
      <c r="E5" s="83">
        <v>1</v>
      </c>
      <c r="F5" s="83">
        <v>0</v>
      </c>
      <c r="G5" s="84">
        <f>C5*5+D5*4+E5*3</f>
        <v>654</v>
      </c>
      <c r="H5" s="83">
        <v>0</v>
      </c>
      <c r="I5" s="83">
        <v>0</v>
      </c>
      <c r="J5" s="83">
        <v>0</v>
      </c>
      <c r="K5" s="85">
        <v>0</v>
      </c>
      <c r="L5" s="85">
        <v>0</v>
      </c>
      <c r="M5" s="85">
        <v>5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6">
        <f>G5+SUM(H5:L5)+5</f>
        <v>659</v>
      </c>
    </row>
    <row r="6" spans="1:19" ht="47.25">
      <c r="A6" s="80">
        <v>2</v>
      </c>
      <c r="B6" s="81" t="s">
        <v>282</v>
      </c>
      <c r="C6" s="82">
        <v>100</v>
      </c>
      <c r="D6" s="83">
        <v>33</v>
      </c>
      <c r="E6" s="83">
        <v>3</v>
      </c>
      <c r="F6" s="83">
        <v>0</v>
      </c>
      <c r="G6" s="84">
        <f>C6*5+D6*4+E6*3</f>
        <v>641</v>
      </c>
      <c r="H6" s="83">
        <v>0</v>
      </c>
      <c r="I6" s="83">
        <v>0</v>
      </c>
      <c r="J6" s="83">
        <v>0</v>
      </c>
      <c r="K6" s="85">
        <v>0</v>
      </c>
      <c r="L6" s="85">
        <v>0</v>
      </c>
      <c r="M6" s="85">
        <f>5</f>
        <v>5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6">
        <f>G6+SUM(H6:L6)+5</f>
        <v>646</v>
      </c>
    </row>
    <row r="7" spans="1:19" ht="63">
      <c r="A7" s="80">
        <v>3</v>
      </c>
      <c r="B7" s="81" t="s">
        <v>283</v>
      </c>
      <c r="C7" s="82">
        <v>57</v>
      </c>
      <c r="D7" s="83">
        <v>65</v>
      </c>
      <c r="E7" s="83">
        <v>4</v>
      </c>
      <c r="F7" s="83">
        <v>0</v>
      </c>
      <c r="G7" s="84">
        <f aca="true" t="shared" si="0" ref="G7:G28">C7*5+D7*4+E7*3</f>
        <v>557</v>
      </c>
      <c r="H7" s="83">
        <v>0</v>
      </c>
      <c r="I7" s="83">
        <v>0</v>
      </c>
      <c r="J7" s="83">
        <v>0</v>
      </c>
      <c r="K7" s="85">
        <v>20</v>
      </c>
      <c r="L7" s="85">
        <v>0</v>
      </c>
      <c r="M7" s="85">
        <f>5</f>
        <v>5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6">
        <f>G7+SUM(H7:L7)+5</f>
        <v>582</v>
      </c>
    </row>
    <row r="8" spans="1:19" ht="47.25">
      <c r="A8" s="80">
        <v>4</v>
      </c>
      <c r="B8" s="81" t="s">
        <v>284</v>
      </c>
      <c r="C8" s="82">
        <v>37</v>
      </c>
      <c r="D8" s="83">
        <v>80</v>
      </c>
      <c r="E8" s="83">
        <v>11</v>
      </c>
      <c r="F8" s="83">
        <v>1</v>
      </c>
      <c r="G8" s="84">
        <f t="shared" si="0"/>
        <v>538</v>
      </c>
      <c r="H8" s="83">
        <v>30</v>
      </c>
      <c r="I8" s="83">
        <v>10</v>
      </c>
      <c r="J8" s="83">
        <v>0</v>
      </c>
      <c r="K8" s="85">
        <v>20</v>
      </c>
      <c r="L8" s="85">
        <v>0</v>
      </c>
      <c r="M8" s="85">
        <f>5</f>
        <v>5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6">
        <f>G8+SUM(H8:Q8)</f>
        <v>603</v>
      </c>
    </row>
    <row r="9" spans="1:19" ht="47.25">
      <c r="A9" s="80">
        <v>5</v>
      </c>
      <c r="B9" s="81" t="s">
        <v>285</v>
      </c>
      <c r="C9" s="82">
        <v>103</v>
      </c>
      <c r="D9" s="83">
        <v>32</v>
      </c>
      <c r="E9" s="83"/>
      <c r="F9" s="83">
        <v>0</v>
      </c>
      <c r="G9" s="84">
        <f t="shared" si="0"/>
        <v>643</v>
      </c>
      <c r="H9" s="83">
        <v>0</v>
      </c>
      <c r="I9" s="83">
        <v>0</v>
      </c>
      <c r="J9" s="83">
        <v>0</v>
      </c>
      <c r="K9" s="85">
        <v>0</v>
      </c>
      <c r="L9" s="85">
        <v>0</v>
      </c>
      <c r="M9" s="85">
        <f>5</f>
        <v>5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6">
        <f>G9+SUM(H9:Q9)</f>
        <v>648</v>
      </c>
    </row>
    <row r="10" spans="1:19" ht="47.25">
      <c r="A10" s="80">
        <v>6</v>
      </c>
      <c r="B10" s="81" t="s">
        <v>286</v>
      </c>
      <c r="C10" s="82">
        <v>60</v>
      </c>
      <c r="D10" s="83">
        <v>62</v>
      </c>
      <c r="E10" s="83">
        <v>4</v>
      </c>
      <c r="F10" s="83">
        <v>0</v>
      </c>
      <c r="G10" s="84">
        <f t="shared" si="0"/>
        <v>560</v>
      </c>
      <c r="H10" s="83">
        <v>20</v>
      </c>
      <c r="I10" s="83">
        <v>0</v>
      </c>
      <c r="J10" s="83">
        <v>0</v>
      </c>
      <c r="K10" s="85">
        <v>0</v>
      </c>
      <c r="L10" s="85">
        <v>0</v>
      </c>
      <c r="M10" s="85">
        <f>5</f>
        <v>5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6">
        <f>G10-SUM(H10:Q10)</f>
        <v>535</v>
      </c>
    </row>
    <row r="11" spans="1:19" ht="47.25">
      <c r="A11" s="80">
        <v>7</v>
      </c>
      <c r="B11" s="81" t="s">
        <v>287</v>
      </c>
      <c r="C11" s="82">
        <v>97</v>
      </c>
      <c r="D11" s="83">
        <v>33</v>
      </c>
      <c r="E11" s="83"/>
      <c r="F11" s="83">
        <v>0</v>
      </c>
      <c r="G11" s="84">
        <f t="shared" si="0"/>
        <v>617</v>
      </c>
      <c r="H11" s="83">
        <v>10</v>
      </c>
      <c r="I11" s="83">
        <v>0</v>
      </c>
      <c r="J11" s="83">
        <v>0</v>
      </c>
      <c r="K11" s="85">
        <v>0</v>
      </c>
      <c r="L11" s="85">
        <v>0</v>
      </c>
      <c r="M11" s="85">
        <f>5</f>
        <v>5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6">
        <f>G11-SUM(H11:Q11)</f>
        <v>602</v>
      </c>
    </row>
    <row r="12" spans="1:19" ht="47.25">
      <c r="A12" s="87">
        <v>8</v>
      </c>
      <c r="B12" s="81" t="s">
        <v>288</v>
      </c>
      <c r="C12" s="82">
        <v>77</v>
      </c>
      <c r="D12" s="83">
        <v>34</v>
      </c>
      <c r="E12" s="83">
        <v>4</v>
      </c>
      <c r="F12" s="83">
        <v>0</v>
      </c>
      <c r="G12" s="84">
        <f t="shared" si="0"/>
        <v>533</v>
      </c>
      <c r="H12" s="83">
        <v>0</v>
      </c>
      <c r="I12" s="83">
        <v>0</v>
      </c>
      <c r="J12" s="83">
        <v>0</v>
      </c>
      <c r="K12" s="85">
        <v>0</v>
      </c>
      <c r="L12" s="85">
        <v>0</v>
      </c>
      <c r="M12" s="85">
        <f>5</f>
        <v>5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6">
        <f>G12+SUM(H12:L12)+5</f>
        <v>538</v>
      </c>
    </row>
    <row r="13" spans="1:19" ht="63">
      <c r="A13" s="87">
        <v>9</v>
      </c>
      <c r="B13" s="81" t="s">
        <v>289</v>
      </c>
      <c r="C13" s="82">
        <v>65</v>
      </c>
      <c r="D13" s="83">
        <v>57</v>
      </c>
      <c r="E13" s="83">
        <v>2</v>
      </c>
      <c r="F13" s="83">
        <v>0</v>
      </c>
      <c r="G13" s="84">
        <f t="shared" si="0"/>
        <v>559</v>
      </c>
      <c r="H13" s="83">
        <v>10</v>
      </c>
      <c r="I13" s="83">
        <v>0</v>
      </c>
      <c r="J13" s="83">
        <v>0</v>
      </c>
      <c r="K13" s="85">
        <v>0</v>
      </c>
      <c r="L13" s="85">
        <v>0</v>
      </c>
      <c r="M13" s="85">
        <f>5</f>
        <v>5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6">
        <f>G13-SUM(H13:Q13)</f>
        <v>544</v>
      </c>
    </row>
    <row r="14" spans="1:19" ht="63">
      <c r="A14" s="87">
        <v>10</v>
      </c>
      <c r="B14" s="81" t="s">
        <v>290</v>
      </c>
      <c r="C14" s="82">
        <v>72</v>
      </c>
      <c r="D14" s="83">
        <v>62</v>
      </c>
      <c r="E14" s="83">
        <v>3</v>
      </c>
      <c r="F14" s="83">
        <v>0</v>
      </c>
      <c r="G14" s="84">
        <f t="shared" si="0"/>
        <v>617</v>
      </c>
      <c r="H14" s="83">
        <v>0</v>
      </c>
      <c r="I14" s="83">
        <v>0</v>
      </c>
      <c r="J14" s="83">
        <v>0</v>
      </c>
      <c r="K14" s="85">
        <v>0</v>
      </c>
      <c r="L14" s="85">
        <v>0</v>
      </c>
      <c r="M14" s="85">
        <f>5</f>
        <v>5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6">
        <f>G14-SUM(H14:L14)+5</f>
        <v>622</v>
      </c>
    </row>
    <row r="15" spans="1:19" ht="63">
      <c r="A15" s="87">
        <v>11</v>
      </c>
      <c r="B15" s="81" t="s">
        <v>291</v>
      </c>
      <c r="C15" s="82">
        <v>75</v>
      </c>
      <c r="D15" s="83">
        <v>65</v>
      </c>
      <c r="E15" s="83">
        <v>2</v>
      </c>
      <c r="F15" s="83">
        <v>0</v>
      </c>
      <c r="G15" s="84">
        <f t="shared" si="0"/>
        <v>641</v>
      </c>
      <c r="H15" s="83">
        <v>0</v>
      </c>
      <c r="I15" s="83">
        <v>0</v>
      </c>
      <c r="J15" s="83">
        <v>0</v>
      </c>
      <c r="K15" s="85">
        <v>0</v>
      </c>
      <c r="L15" s="85">
        <v>0</v>
      </c>
      <c r="M15" s="85">
        <f>5</f>
        <v>5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6">
        <f>G15-SUM(H15:L15)+5</f>
        <v>646</v>
      </c>
    </row>
    <row r="16" spans="1:19" ht="63">
      <c r="A16" s="80">
        <v>12</v>
      </c>
      <c r="B16" s="81" t="s">
        <v>292</v>
      </c>
      <c r="C16" s="82">
        <v>17</v>
      </c>
      <c r="D16" s="83">
        <v>70</v>
      </c>
      <c r="E16" s="83">
        <v>29</v>
      </c>
      <c r="F16" s="83">
        <v>2</v>
      </c>
      <c r="G16" s="84">
        <f t="shared" si="0"/>
        <v>452</v>
      </c>
      <c r="H16" s="83">
        <v>20</v>
      </c>
      <c r="I16" s="83">
        <v>0</v>
      </c>
      <c r="J16" s="83">
        <v>20</v>
      </c>
      <c r="K16" s="85">
        <v>0</v>
      </c>
      <c r="L16" s="85">
        <v>0</v>
      </c>
      <c r="M16" s="85">
        <f>5</f>
        <v>5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6">
        <f aca="true" t="shared" si="1" ref="S16:S28">G16-SUM(H16:Q16)</f>
        <v>407</v>
      </c>
    </row>
    <row r="17" spans="1:19" ht="47.25">
      <c r="A17" s="80">
        <v>13</v>
      </c>
      <c r="B17" s="81" t="s">
        <v>293</v>
      </c>
      <c r="C17" s="82">
        <v>98</v>
      </c>
      <c r="D17" s="83">
        <v>60</v>
      </c>
      <c r="E17" s="83">
        <v>3</v>
      </c>
      <c r="F17" s="83">
        <v>0</v>
      </c>
      <c r="G17" s="84">
        <f t="shared" si="0"/>
        <v>739</v>
      </c>
      <c r="H17" s="83">
        <v>10</v>
      </c>
      <c r="I17" s="83">
        <v>0</v>
      </c>
      <c r="J17" s="83">
        <v>0</v>
      </c>
      <c r="K17" s="85">
        <v>0</v>
      </c>
      <c r="L17" s="85">
        <v>0</v>
      </c>
      <c r="M17" s="85">
        <f>5</f>
        <v>5</v>
      </c>
      <c r="N17" s="88">
        <v>5</v>
      </c>
      <c r="O17" s="85">
        <v>0</v>
      </c>
      <c r="P17" s="85">
        <v>0</v>
      </c>
      <c r="Q17" s="85">
        <v>0</v>
      </c>
      <c r="R17" s="85">
        <v>0</v>
      </c>
      <c r="S17" s="86">
        <f>G17+SUM(H17:Q17)</f>
        <v>759</v>
      </c>
    </row>
    <row r="18" spans="1:19" ht="47.25">
      <c r="A18" s="80">
        <v>14</v>
      </c>
      <c r="B18" s="81" t="s">
        <v>294</v>
      </c>
      <c r="C18" s="82">
        <v>52</v>
      </c>
      <c r="D18" s="83">
        <v>72</v>
      </c>
      <c r="E18" s="83"/>
      <c r="F18" s="83">
        <v>0</v>
      </c>
      <c r="G18" s="84">
        <f t="shared" si="0"/>
        <v>548</v>
      </c>
      <c r="H18" s="83">
        <v>10</v>
      </c>
      <c r="I18" s="83">
        <v>0</v>
      </c>
      <c r="J18" s="83">
        <v>0</v>
      </c>
      <c r="K18" s="85">
        <v>0</v>
      </c>
      <c r="L18" s="85">
        <v>0</v>
      </c>
      <c r="M18" s="85">
        <f>5</f>
        <v>5</v>
      </c>
      <c r="N18" s="88"/>
      <c r="O18" s="85">
        <v>0</v>
      </c>
      <c r="P18" s="85">
        <v>0</v>
      </c>
      <c r="Q18" s="85">
        <v>0</v>
      </c>
      <c r="R18" s="85">
        <v>0</v>
      </c>
      <c r="S18" s="86">
        <f t="shared" si="1"/>
        <v>533</v>
      </c>
    </row>
    <row r="19" spans="1:19" ht="47.25">
      <c r="A19" s="80">
        <v>15</v>
      </c>
      <c r="B19" s="81" t="s">
        <v>295</v>
      </c>
      <c r="C19" s="82">
        <v>85</v>
      </c>
      <c r="D19" s="83">
        <v>60</v>
      </c>
      <c r="E19" s="83">
        <v>1</v>
      </c>
      <c r="F19" s="83">
        <v>0</v>
      </c>
      <c r="G19" s="84">
        <f t="shared" si="0"/>
        <v>668</v>
      </c>
      <c r="H19" s="83">
        <v>20</v>
      </c>
      <c r="I19" s="83">
        <v>0</v>
      </c>
      <c r="J19" s="83">
        <v>0</v>
      </c>
      <c r="K19" s="85">
        <v>0</v>
      </c>
      <c r="L19" s="85">
        <v>0</v>
      </c>
      <c r="M19" s="85">
        <f>5</f>
        <v>5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6">
        <f t="shared" si="1"/>
        <v>643</v>
      </c>
    </row>
    <row r="20" spans="1:19" ht="63">
      <c r="A20" s="80">
        <v>16</v>
      </c>
      <c r="B20" s="81" t="s">
        <v>296</v>
      </c>
      <c r="C20" s="82">
        <v>60</v>
      </c>
      <c r="D20" s="83">
        <v>74</v>
      </c>
      <c r="E20" s="83">
        <v>4</v>
      </c>
      <c r="F20" s="83">
        <v>0</v>
      </c>
      <c r="G20" s="84">
        <f t="shared" si="0"/>
        <v>608</v>
      </c>
      <c r="H20" s="83">
        <v>0</v>
      </c>
      <c r="I20" s="83">
        <v>0</v>
      </c>
      <c r="J20" s="83">
        <v>0</v>
      </c>
      <c r="K20" s="85">
        <v>0</v>
      </c>
      <c r="L20" s="85">
        <v>0</v>
      </c>
      <c r="M20" s="85">
        <f>5</f>
        <v>5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6">
        <f>G20-SUM(H20:L20)+5</f>
        <v>613</v>
      </c>
    </row>
    <row r="21" spans="1:19" ht="47.25">
      <c r="A21" s="80">
        <v>17</v>
      </c>
      <c r="B21" s="81" t="s">
        <v>297</v>
      </c>
      <c r="C21" s="82">
        <v>21</v>
      </c>
      <c r="D21" s="83">
        <v>80</v>
      </c>
      <c r="E21" s="83">
        <v>16</v>
      </c>
      <c r="F21" s="83">
        <v>0</v>
      </c>
      <c r="G21" s="84">
        <f t="shared" si="0"/>
        <v>473</v>
      </c>
      <c r="H21" s="83">
        <v>0</v>
      </c>
      <c r="I21" s="83">
        <v>0</v>
      </c>
      <c r="J21" s="83">
        <v>0</v>
      </c>
      <c r="K21" s="85">
        <v>0</v>
      </c>
      <c r="L21" s="85">
        <v>0</v>
      </c>
      <c r="M21" s="85">
        <f>5</f>
        <v>5</v>
      </c>
      <c r="N21" s="85">
        <v>0</v>
      </c>
      <c r="O21" s="85">
        <v>5</v>
      </c>
      <c r="P21" s="85">
        <v>0</v>
      </c>
      <c r="Q21" s="85">
        <v>0</v>
      </c>
      <c r="R21" s="85">
        <v>0</v>
      </c>
      <c r="S21" s="86">
        <f>G21-SUM(H21:L21)+5</f>
        <v>478</v>
      </c>
    </row>
    <row r="22" spans="1:19" ht="47.25">
      <c r="A22" s="80">
        <v>18</v>
      </c>
      <c r="B22" s="81" t="s">
        <v>298</v>
      </c>
      <c r="C22" s="82">
        <v>55</v>
      </c>
      <c r="D22" s="83">
        <v>73</v>
      </c>
      <c r="E22" s="83">
        <v>4</v>
      </c>
      <c r="F22" s="83">
        <v>0</v>
      </c>
      <c r="G22" s="84">
        <f t="shared" si="0"/>
        <v>579</v>
      </c>
      <c r="H22" s="83">
        <v>30</v>
      </c>
      <c r="I22" s="83">
        <v>0</v>
      </c>
      <c r="J22" s="83">
        <v>0</v>
      </c>
      <c r="K22" s="85">
        <v>0</v>
      </c>
      <c r="L22" s="85">
        <v>0</v>
      </c>
      <c r="M22" s="85">
        <f>5</f>
        <v>5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6">
        <f t="shared" si="1"/>
        <v>544</v>
      </c>
    </row>
    <row r="23" spans="1:19" ht="47.25">
      <c r="A23" s="80">
        <v>19</v>
      </c>
      <c r="B23" s="89" t="s">
        <v>299</v>
      </c>
      <c r="C23" s="82">
        <v>45</v>
      </c>
      <c r="D23" s="83">
        <v>78</v>
      </c>
      <c r="E23" s="83">
        <v>3</v>
      </c>
      <c r="F23" s="83">
        <v>0</v>
      </c>
      <c r="G23" s="84">
        <f t="shared" si="0"/>
        <v>546</v>
      </c>
      <c r="H23" s="83">
        <v>0</v>
      </c>
      <c r="I23" s="83">
        <v>0</v>
      </c>
      <c r="J23" s="83">
        <v>0</v>
      </c>
      <c r="K23" s="85">
        <v>0</v>
      </c>
      <c r="L23" s="85">
        <v>0</v>
      </c>
      <c r="M23" s="85">
        <f>5</f>
        <v>5</v>
      </c>
      <c r="N23" s="85">
        <v>0</v>
      </c>
      <c r="O23" s="85">
        <v>5</v>
      </c>
      <c r="P23" s="85">
        <v>0</v>
      </c>
      <c r="Q23" s="85">
        <v>0</v>
      </c>
      <c r="R23" s="85">
        <v>0</v>
      </c>
      <c r="S23" s="86">
        <f t="shared" si="1"/>
        <v>536</v>
      </c>
    </row>
    <row r="24" spans="1:19" ht="47.25">
      <c r="A24" s="80">
        <v>20</v>
      </c>
      <c r="B24" s="89" t="s">
        <v>300</v>
      </c>
      <c r="C24" s="90">
        <v>64</v>
      </c>
      <c r="D24" s="91">
        <v>65</v>
      </c>
      <c r="E24" s="83">
        <v>4</v>
      </c>
      <c r="F24" s="83">
        <v>0</v>
      </c>
      <c r="G24" s="84">
        <f t="shared" si="0"/>
        <v>592</v>
      </c>
      <c r="H24" s="83">
        <v>20</v>
      </c>
      <c r="I24" s="83">
        <v>0</v>
      </c>
      <c r="J24" s="83">
        <v>0</v>
      </c>
      <c r="K24" s="85">
        <v>0</v>
      </c>
      <c r="L24" s="85">
        <v>0</v>
      </c>
      <c r="M24" s="85">
        <f>5</f>
        <v>5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6">
        <f t="shared" si="1"/>
        <v>567</v>
      </c>
    </row>
    <row r="25" spans="1:19" ht="47.25">
      <c r="A25" s="80">
        <v>21</v>
      </c>
      <c r="B25" s="92" t="s">
        <v>301</v>
      </c>
      <c r="C25" s="93">
        <v>50</v>
      </c>
      <c r="D25" s="85">
        <v>66</v>
      </c>
      <c r="E25" s="85">
        <v>6</v>
      </c>
      <c r="F25" s="83">
        <v>0</v>
      </c>
      <c r="G25" s="84">
        <f t="shared" si="0"/>
        <v>532</v>
      </c>
      <c r="H25" s="83">
        <v>10</v>
      </c>
      <c r="I25" s="83">
        <v>0</v>
      </c>
      <c r="J25" s="83">
        <v>0</v>
      </c>
      <c r="K25" s="83">
        <v>0</v>
      </c>
      <c r="L25" s="83">
        <v>0</v>
      </c>
      <c r="M25" s="85">
        <f>5</f>
        <v>5</v>
      </c>
      <c r="N25" s="83">
        <v>0</v>
      </c>
      <c r="O25" s="83">
        <v>0</v>
      </c>
      <c r="P25" s="85">
        <v>0</v>
      </c>
      <c r="Q25" s="85">
        <v>0</v>
      </c>
      <c r="R25" s="85">
        <v>0</v>
      </c>
      <c r="S25" s="86">
        <f t="shared" si="1"/>
        <v>517</v>
      </c>
    </row>
    <row r="26" spans="1:19" ht="15.75">
      <c r="A26" s="80">
        <v>22</v>
      </c>
      <c r="B26" s="94" t="s">
        <v>302</v>
      </c>
      <c r="C26" s="93">
        <v>25</v>
      </c>
      <c r="D26" s="85">
        <v>74</v>
      </c>
      <c r="E26" s="85">
        <v>15</v>
      </c>
      <c r="F26" s="83">
        <v>0</v>
      </c>
      <c r="G26" s="84">
        <f t="shared" si="0"/>
        <v>466</v>
      </c>
      <c r="H26" s="83">
        <v>30</v>
      </c>
      <c r="I26" s="83">
        <v>0</v>
      </c>
      <c r="J26" s="83">
        <v>20</v>
      </c>
      <c r="K26" s="83">
        <v>0</v>
      </c>
      <c r="L26" s="83">
        <v>0</v>
      </c>
      <c r="M26" s="85">
        <f>5</f>
        <v>5</v>
      </c>
      <c r="N26" s="83">
        <v>0</v>
      </c>
      <c r="O26" s="83">
        <v>0</v>
      </c>
      <c r="P26" s="85">
        <v>0</v>
      </c>
      <c r="Q26" s="85">
        <v>0</v>
      </c>
      <c r="R26" s="85">
        <v>0</v>
      </c>
      <c r="S26" s="86">
        <f t="shared" si="1"/>
        <v>411</v>
      </c>
    </row>
    <row r="27" spans="1:19" ht="15.75">
      <c r="A27" s="80">
        <v>23</v>
      </c>
      <c r="B27" s="94" t="s">
        <v>303</v>
      </c>
      <c r="C27" s="82">
        <v>22</v>
      </c>
      <c r="D27" s="83">
        <v>78</v>
      </c>
      <c r="E27" s="83">
        <v>17</v>
      </c>
      <c r="F27" s="83">
        <v>0</v>
      </c>
      <c r="G27" s="84">
        <f t="shared" si="0"/>
        <v>473</v>
      </c>
      <c r="H27" s="83">
        <v>30</v>
      </c>
      <c r="I27" s="83">
        <v>0</v>
      </c>
      <c r="J27" s="83">
        <v>0</v>
      </c>
      <c r="K27" s="83">
        <v>0</v>
      </c>
      <c r="L27" s="83">
        <v>0</v>
      </c>
      <c r="M27" s="85">
        <f>5</f>
        <v>5</v>
      </c>
      <c r="N27" s="83">
        <v>0</v>
      </c>
      <c r="O27" s="83">
        <v>0</v>
      </c>
      <c r="P27" s="85">
        <v>0</v>
      </c>
      <c r="Q27" s="85">
        <v>0</v>
      </c>
      <c r="R27" s="85">
        <v>0</v>
      </c>
      <c r="S27" s="86">
        <f t="shared" si="1"/>
        <v>438</v>
      </c>
    </row>
    <row r="28" spans="1:19" ht="15.75">
      <c r="A28" s="80">
        <v>24</v>
      </c>
      <c r="B28" s="94" t="s">
        <v>304</v>
      </c>
      <c r="C28" s="82">
        <v>30</v>
      </c>
      <c r="D28" s="83">
        <v>79</v>
      </c>
      <c r="E28" s="83">
        <v>11</v>
      </c>
      <c r="F28" s="83">
        <v>0</v>
      </c>
      <c r="G28" s="84">
        <f t="shared" si="0"/>
        <v>499</v>
      </c>
      <c r="H28" s="83">
        <v>30</v>
      </c>
      <c r="I28" s="83">
        <v>0</v>
      </c>
      <c r="J28" s="83">
        <v>0</v>
      </c>
      <c r="K28" s="83">
        <v>0</v>
      </c>
      <c r="L28" s="83">
        <v>0</v>
      </c>
      <c r="M28" s="85">
        <f>5</f>
        <v>5</v>
      </c>
      <c r="N28" s="83">
        <v>0</v>
      </c>
      <c r="O28" s="83">
        <v>0</v>
      </c>
      <c r="P28" s="85">
        <v>0</v>
      </c>
      <c r="Q28" s="85">
        <v>0</v>
      </c>
      <c r="R28" s="85">
        <v>0</v>
      </c>
      <c r="S28" s="86">
        <f t="shared" si="1"/>
        <v>464</v>
      </c>
    </row>
    <row r="29" spans="1:19" ht="15">
      <c r="A29" s="95"/>
      <c r="B29" s="1"/>
      <c r="C29" s="96"/>
      <c r="D29" s="96"/>
      <c r="E29" s="96"/>
      <c r="F29" s="97"/>
      <c r="G29" s="97"/>
      <c r="H29" s="96"/>
      <c r="I29" s="96"/>
      <c r="J29" s="97"/>
      <c r="K29" s="96"/>
      <c r="L29" s="96"/>
      <c r="M29" s="96"/>
      <c r="N29" s="96"/>
      <c r="O29" s="96"/>
      <c r="P29" s="96"/>
      <c r="Q29" s="97"/>
      <c r="R29" s="96"/>
      <c r="S29" s="97"/>
    </row>
    <row r="30" spans="1:19" ht="15.75">
      <c r="A30" s="95"/>
      <c r="B30" s="98" t="s">
        <v>305</v>
      </c>
      <c r="C30" s="96"/>
      <c r="D30" s="337" t="s">
        <v>305</v>
      </c>
      <c r="E30" s="337"/>
      <c r="F30" s="337"/>
      <c r="G30" s="337"/>
      <c r="H30" s="337"/>
      <c r="I30" s="337"/>
      <c r="J30" s="337"/>
      <c r="K30" s="96"/>
      <c r="L30" s="96"/>
      <c r="M30" s="96"/>
      <c r="N30" s="96"/>
      <c r="O30" s="96"/>
      <c r="P30" s="96"/>
      <c r="Q30" s="96"/>
      <c r="R30" s="96"/>
      <c r="S30" s="96"/>
    </row>
  </sheetData>
  <sheetProtection/>
  <mergeCells count="21">
    <mergeCell ref="N3:N4"/>
    <mergeCell ref="H3:H4"/>
    <mergeCell ref="P3:P4"/>
    <mergeCell ref="Q3:Q4"/>
    <mergeCell ref="R3:R4"/>
    <mergeCell ref="S3:S4"/>
    <mergeCell ref="D30:J30"/>
    <mergeCell ref="J3:J4"/>
    <mergeCell ref="K3:K4"/>
    <mergeCell ref="L3:L4"/>
    <mergeCell ref="M3:M4"/>
    <mergeCell ref="I3:I4"/>
    <mergeCell ref="O3:O4"/>
    <mergeCell ref="A1:S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K20" sqref="K20"/>
    </sheetView>
  </sheetViews>
  <sheetFormatPr defaultColWidth="9.140625" defaultRowHeight="15"/>
  <sheetData>
    <row r="1" spans="1:19" ht="18.75">
      <c r="A1" s="303" t="s">
        <v>306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16783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7" t="s">
        <v>307</v>
      </c>
      <c r="C5" s="26">
        <v>510</v>
      </c>
      <c r="D5" s="26">
        <v>236</v>
      </c>
      <c r="E5" s="26">
        <v>42</v>
      </c>
      <c r="F5" s="26">
        <v>0</v>
      </c>
      <c r="G5" s="28">
        <f>SUM(C5:F5)</f>
        <v>788</v>
      </c>
      <c r="H5" s="26"/>
      <c r="I5" s="26"/>
      <c r="J5" s="26"/>
      <c r="K5" s="29"/>
      <c r="L5" s="29"/>
      <c r="M5" s="29"/>
      <c r="N5" s="29"/>
      <c r="O5" s="29"/>
      <c r="P5" s="29"/>
      <c r="Q5" s="29"/>
      <c r="R5" s="29"/>
      <c r="S5" s="30">
        <f>SUM(G5:R5)</f>
        <v>788</v>
      </c>
    </row>
    <row r="6" spans="1:19" ht="15">
      <c r="A6" s="26">
        <v>2</v>
      </c>
      <c r="B6" s="27" t="s">
        <v>308</v>
      </c>
      <c r="C6" s="26">
        <v>480</v>
      </c>
      <c r="D6" s="26">
        <v>272</v>
      </c>
      <c r="E6" s="26">
        <v>9</v>
      </c>
      <c r="F6" s="26">
        <v>-4</v>
      </c>
      <c r="G6" s="28">
        <f aca="true" t="shared" si="0" ref="G6:G34">SUM(C6:F6)</f>
        <v>757</v>
      </c>
      <c r="H6" s="26">
        <v>-40</v>
      </c>
      <c r="I6" s="26"/>
      <c r="J6" s="26"/>
      <c r="K6" s="31">
        <v>20</v>
      </c>
      <c r="L6" s="31"/>
      <c r="M6" s="29"/>
      <c r="N6" s="29"/>
      <c r="O6" s="31"/>
      <c r="P6" s="31"/>
      <c r="Q6" s="29"/>
      <c r="R6" s="31"/>
      <c r="S6" s="30">
        <f aca="true" t="shared" si="1" ref="S6:S34">SUM(G6:R6)</f>
        <v>737</v>
      </c>
    </row>
    <row r="7" spans="1:19" ht="15">
      <c r="A7" s="26">
        <v>3</v>
      </c>
      <c r="B7" s="27" t="s">
        <v>309</v>
      </c>
      <c r="C7" s="26">
        <v>460</v>
      </c>
      <c r="D7" s="26">
        <v>268</v>
      </c>
      <c r="E7" s="26">
        <v>33</v>
      </c>
      <c r="F7" s="26">
        <v>-2</v>
      </c>
      <c r="G7" s="28">
        <f t="shared" si="0"/>
        <v>759</v>
      </c>
      <c r="H7" s="26">
        <v>-20</v>
      </c>
      <c r="I7" s="26"/>
      <c r="J7" s="26"/>
      <c r="K7" s="31"/>
      <c r="L7" s="31"/>
      <c r="M7" s="29"/>
      <c r="N7" s="29">
        <v>5</v>
      </c>
      <c r="O7" s="31"/>
      <c r="P7" s="31"/>
      <c r="Q7" s="29"/>
      <c r="R7" s="31">
        <v>2</v>
      </c>
      <c r="S7" s="30">
        <f t="shared" si="1"/>
        <v>746</v>
      </c>
    </row>
    <row r="8" spans="1:19" ht="15">
      <c r="A8" s="26">
        <v>4</v>
      </c>
      <c r="B8" s="27" t="s">
        <v>310</v>
      </c>
      <c r="C8" s="26">
        <v>300</v>
      </c>
      <c r="D8" s="26">
        <v>376</v>
      </c>
      <c r="E8" s="26">
        <v>42</v>
      </c>
      <c r="F8" s="26">
        <v>-2</v>
      </c>
      <c r="G8" s="28">
        <f t="shared" si="0"/>
        <v>716</v>
      </c>
      <c r="H8" s="26">
        <v>-20</v>
      </c>
      <c r="I8" s="26"/>
      <c r="J8" s="26"/>
      <c r="K8" s="31"/>
      <c r="L8" s="31"/>
      <c r="M8" s="29"/>
      <c r="N8" s="29"/>
      <c r="O8" s="31"/>
      <c r="P8" s="31"/>
      <c r="Q8" s="29"/>
      <c r="R8" s="31"/>
      <c r="S8" s="30">
        <f t="shared" si="1"/>
        <v>696</v>
      </c>
    </row>
    <row r="9" spans="1:19" ht="15">
      <c r="A9" s="26">
        <v>5</v>
      </c>
      <c r="B9" s="27" t="s">
        <v>311</v>
      </c>
      <c r="C9" s="26">
        <v>320</v>
      </c>
      <c r="D9" s="26">
        <v>376</v>
      </c>
      <c r="E9" s="26">
        <v>30</v>
      </c>
      <c r="F9" s="26">
        <v>0</v>
      </c>
      <c r="G9" s="28">
        <f t="shared" si="0"/>
        <v>726</v>
      </c>
      <c r="H9" s="26">
        <v>-100</v>
      </c>
      <c r="I9" s="26"/>
      <c r="J9" s="26"/>
      <c r="K9" s="31"/>
      <c r="L9" s="31"/>
      <c r="M9" s="29"/>
      <c r="N9" s="29"/>
      <c r="O9" s="31"/>
      <c r="P9" s="31"/>
      <c r="Q9" s="29"/>
      <c r="R9" s="31"/>
      <c r="S9" s="30">
        <f t="shared" si="1"/>
        <v>626</v>
      </c>
    </row>
    <row r="10" spans="1:19" ht="15">
      <c r="A10" s="26">
        <v>6</v>
      </c>
      <c r="B10" s="27" t="s">
        <v>312</v>
      </c>
      <c r="C10" s="26">
        <v>655</v>
      </c>
      <c r="D10" s="26">
        <v>160</v>
      </c>
      <c r="E10" s="26">
        <v>3</v>
      </c>
      <c r="F10" s="26">
        <v>0</v>
      </c>
      <c r="G10" s="28">
        <f t="shared" si="0"/>
        <v>818</v>
      </c>
      <c r="H10" s="26"/>
      <c r="I10" s="26"/>
      <c r="J10" s="26"/>
      <c r="K10" s="31"/>
      <c r="L10" s="31"/>
      <c r="M10" s="29"/>
      <c r="N10" s="29">
        <v>3</v>
      </c>
      <c r="O10" s="31"/>
      <c r="P10" s="31"/>
      <c r="Q10" s="29"/>
      <c r="R10" s="31"/>
      <c r="S10" s="30">
        <f t="shared" si="1"/>
        <v>821</v>
      </c>
    </row>
    <row r="11" spans="1:19" ht="15">
      <c r="A11" s="26">
        <v>7</v>
      </c>
      <c r="B11" s="27" t="s">
        <v>313</v>
      </c>
      <c r="C11" s="26">
        <v>430</v>
      </c>
      <c r="D11" s="26">
        <v>268</v>
      </c>
      <c r="E11" s="26">
        <v>39</v>
      </c>
      <c r="F11" s="26">
        <v>-2</v>
      </c>
      <c r="G11" s="28">
        <f t="shared" si="0"/>
        <v>735</v>
      </c>
      <c r="H11" s="26"/>
      <c r="I11" s="26"/>
      <c r="J11" s="26"/>
      <c r="K11" s="31"/>
      <c r="L11" s="31"/>
      <c r="M11" s="29"/>
      <c r="N11" s="29"/>
      <c r="O11" s="31"/>
      <c r="P11" s="31"/>
      <c r="Q11" s="29"/>
      <c r="R11" s="31"/>
      <c r="S11" s="30">
        <f t="shared" si="1"/>
        <v>735</v>
      </c>
    </row>
    <row r="12" spans="1:19" ht="15">
      <c r="A12" s="26">
        <v>8</v>
      </c>
      <c r="B12" s="27" t="s">
        <v>314</v>
      </c>
      <c r="C12" s="26">
        <v>180</v>
      </c>
      <c r="D12" s="26">
        <v>102</v>
      </c>
      <c r="E12" s="26">
        <v>75</v>
      </c>
      <c r="F12" s="26">
        <v>0</v>
      </c>
      <c r="G12" s="28">
        <f t="shared" si="0"/>
        <v>357</v>
      </c>
      <c r="H12" s="26">
        <v>-140</v>
      </c>
      <c r="I12" s="26"/>
      <c r="J12" s="26"/>
      <c r="K12" s="31"/>
      <c r="L12" s="31"/>
      <c r="M12" s="29"/>
      <c r="N12" s="29"/>
      <c r="O12" s="31"/>
      <c r="P12" s="31"/>
      <c r="Q12" s="29"/>
      <c r="R12" s="31"/>
      <c r="S12" s="30">
        <f t="shared" si="1"/>
        <v>217</v>
      </c>
    </row>
    <row r="13" spans="1:19" ht="15">
      <c r="A13" s="32">
        <v>9</v>
      </c>
      <c r="B13" s="33" t="s">
        <v>315</v>
      </c>
      <c r="C13" s="26">
        <v>230</v>
      </c>
      <c r="D13" s="26">
        <v>412</v>
      </c>
      <c r="E13" s="26">
        <v>57</v>
      </c>
      <c r="F13" s="32">
        <v>0</v>
      </c>
      <c r="G13" s="28">
        <f t="shared" si="0"/>
        <v>699</v>
      </c>
      <c r="H13" s="32"/>
      <c r="I13" s="32"/>
      <c r="J13" s="32"/>
      <c r="K13" s="34"/>
      <c r="L13" s="34"/>
      <c r="M13" s="32"/>
      <c r="N13" s="32"/>
      <c r="O13" s="34"/>
      <c r="P13" s="34"/>
      <c r="Q13" s="32"/>
      <c r="R13" s="34"/>
      <c r="S13" s="30">
        <f t="shared" si="1"/>
        <v>699</v>
      </c>
    </row>
    <row r="14" spans="1:19" ht="15">
      <c r="A14" s="32">
        <v>10</v>
      </c>
      <c r="B14" s="27" t="s">
        <v>316</v>
      </c>
      <c r="C14" s="26">
        <v>665</v>
      </c>
      <c r="D14" s="26">
        <v>148</v>
      </c>
      <c r="E14" s="26">
        <v>3</v>
      </c>
      <c r="F14" s="32">
        <v>0</v>
      </c>
      <c r="G14" s="28">
        <f t="shared" si="0"/>
        <v>816</v>
      </c>
      <c r="H14" s="32">
        <v>-20</v>
      </c>
      <c r="I14" s="32"/>
      <c r="J14" s="32"/>
      <c r="K14" s="34"/>
      <c r="L14" s="34"/>
      <c r="M14" s="32"/>
      <c r="N14" s="32"/>
      <c r="O14" s="34"/>
      <c r="P14" s="34"/>
      <c r="Q14" s="32"/>
      <c r="R14" s="34"/>
      <c r="S14" s="30">
        <f t="shared" si="1"/>
        <v>796</v>
      </c>
    </row>
    <row r="15" spans="1:19" ht="15">
      <c r="A15" s="26">
        <v>11</v>
      </c>
      <c r="B15" s="27" t="s">
        <v>317</v>
      </c>
      <c r="C15" s="26">
        <v>135</v>
      </c>
      <c r="D15" s="26">
        <v>452</v>
      </c>
      <c r="E15" s="26">
        <v>72</v>
      </c>
      <c r="F15" s="26">
        <v>0</v>
      </c>
      <c r="G15" s="28">
        <f t="shared" si="0"/>
        <v>659</v>
      </c>
      <c r="H15" s="26">
        <v>-80</v>
      </c>
      <c r="I15" s="26"/>
      <c r="J15" s="26"/>
      <c r="K15" s="31"/>
      <c r="L15" s="31"/>
      <c r="M15" s="29"/>
      <c r="N15" s="29"/>
      <c r="O15" s="31"/>
      <c r="P15" s="31"/>
      <c r="Q15" s="29"/>
      <c r="R15" s="31"/>
      <c r="S15" s="30">
        <f t="shared" si="1"/>
        <v>579</v>
      </c>
    </row>
    <row r="16" spans="1:19" ht="15">
      <c r="A16" s="32">
        <v>12</v>
      </c>
      <c r="B16" s="27" t="s">
        <v>318</v>
      </c>
      <c r="C16" s="26">
        <v>280</v>
      </c>
      <c r="D16" s="26">
        <v>312</v>
      </c>
      <c r="E16" s="26">
        <v>48</v>
      </c>
      <c r="F16" s="32">
        <v>0</v>
      </c>
      <c r="G16" s="28">
        <f t="shared" si="0"/>
        <v>640</v>
      </c>
      <c r="H16" s="32"/>
      <c r="I16" s="32"/>
      <c r="J16" s="32"/>
      <c r="K16" s="34"/>
      <c r="L16" s="34"/>
      <c r="M16" s="32"/>
      <c r="N16" s="32"/>
      <c r="O16" s="34"/>
      <c r="P16" s="34"/>
      <c r="Q16" s="32"/>
      <c r="R16" s="34"/>
      <c r="S16" s="30">
        <f t="shared" si="1"/>
        <v>640</v>
      </c>
    </row>
    <row r="17" spans="1:19" ht="15">
      <c r="A17" s="26">
        <v>13</v>
      </c>
      <c r="B17" s="27" t="s">
        <v>319</v>
      </c>
      <c r="C17" s="26">
        <v>360</v>
      </c>
      <c r="D17" s="26">
        <v>320</v>
      </c>
      <c r="E17" s="26">
        <v>36</v>
      </c>
      <c r="F17" s="26">
        <v>0</v>
      </c>
      <c r="G17" s="28">
        <f t="shared" si="0"/>
        <v>716</v>
      </c>
      <c r="H17" s="26">
        <v>-100</v>
      </c>
      <c r="I17" s="26">
        <v>10</v>
      </c>
      <c r="J17" s="26"/>
      <c r="K17" s="31"/>
      <c r="L17" s="31">
        <v>10</v>
      </c>
      <c r="M17" s="29"/>
      <c r="N17" s="29"/>
      <c r="O17" s="31"/>
      <c r="P17" s="31"/>
      <c r="Q17" s="29"/>
      <c r="R17" s="31"/>
      <c r="S17" s="30">
        <f t="shared" si="1"/>
        <v>636</v>
      </c>
    </row>
    <row r="18" spans="1:19" ht="15">
      <c r="A18" s="26">
        <v>14</v>
      </c>
      <c r="B18" s="27" t="s">
        <v>320</v>
      </c>
      <c r="C18" s="26">
        <v>440</v>
      </c>
      <c r="D18" s="26">
        <v>280</v>
      </c>
      <c r="E18" s="26">
        <v>21</v>
      </c>
      <c r="F18" s="26">
        <v>0</v>
      </c>
      <c r="G18" s="28">
        <f t="shared" si="0"/>
        <v>741</v>
      </c>
      <c r="H18" s="26"/>
      <c r="I18" s="26"/>
      <c r="J18" s="26"/>
      <c r="K18" s="31"/>
      <c r="L18" s="31"/>
      <c r="M18" s="29"/>
      <c r="N18" s="29"/>
      <c r="O18" s="31"/>
      <c r="P18" s="31"/>
      <c r="Q18" s="29"/>
      <c r="R18" s="31"/>
      <c r="S18" s="30">
        <f t="shared" si="1"/>
        <v>741</v>
      </c>
    </row>
    <row r="19" spans="1:19" ht="15">
      <c r="A19" s="26">
        <v>15</v>
      </c>
      <c r="B19" s="27" t="s">
        <v>321</v>
      </c>
      <c r="C19" s="26">
        <v>425</v>
      </c>
      <c r="D19" s="26">
        <v>328</v>
      </c>
      <c r="E19" s="26">
        <v>36</v>
      </c>
      <c r="F19" s="26">
        <v>0</v>
      </c>
      <c r="G19" s="28">
        <f t="shared" si="0"/>
        <v>789</v>
      </c>
      <c r="H19" s="26"/>
      <c r="I19" s="26"/>
      <c r="J19" s="26"/>
      <c r="K19" s="31"/>
      <c r="L19" s="31"/>
      <c r="M19" s="29"/>
      <c r="N19" s="29"/>
      <c r="O19" s="31"/>
      <c r="P19" s="31"/>
      <c r="Q19" s="29"/>
      <c r="R19" s="31"/>
      <c r="S19" s="30">
        <f t="shared" si="1"/>
        <v>789</v>
      </c>
    </row>
    <row r="20" spans="1:19" ht="15">
      <c r="A20" s="26">
        <v>16</v>
      </c>
      <c r="B20" s="27" t="s">
        <v>322</v>
      </c>
      <c r="C20" s="26">
        <v>580</v>
      </c>
      <c r="D20" s="26">
        <v>172</v>
      </c>
      <c r="E20" s="26">
        <v>18</v>
      </c>
      <c r="F20" s="26">
        <v>0</v>
      </c>
      <c r="G20" s="28">
        <f t="shared" si="0"/>
        <v>770</v>
      </c>
      <c r="H20" s="26"/>
      <c r="I20" s="26"/>
      <c r="J20" s="26"/>
      <c r="K20" s="31"/>
      <c r="L20" s="31"/>
      <c r="M20" s="29"/>
      <c r="N20" s="29">
        <v>3</v>
      </c>
      <c r="O20" s="31"/>
      <c r="P20" s="31"/>
      <c r="Q20" s="29"/>
      <c r="R20" s="31">
        <v>2</v>
      </c>
      <c r="S20" s="30">
        <f t="shared" si="1"/>
        <v>775</v>
      </c>
    </row>
    <row r="21" spans="1:19" ht="15">
      <c r="A21" s="26">
        <v>17</v>
      </c>
      <c r="B21" s="27" t="s">
        <v>323</v>
      </c>
      <c r="C21" s="26">
        <v>555</v>
      </c>
      <c r="D21" s="26">
        <v>192</v>
      </c>
      <c r="E21" s="26">
        <v>12</v>
      </c>
      <c r="F21" s="26">
        <v>0</v>
      </c>
      <c r="G21" s="28">
        <f t="shared" si="0"/>
        <v>759</v>
      </c>
      <c r="H21" s="26"/>
      <c r="I21" s="26"/>
      <c r="J21" s="26"/>
      <c r="K21" s="31"/>
      <c r="L21" s="31"/>
      <c r="M21" s="29"/>
      <c r="N21" s="29"/>
      <c r="O21" s="31"/>
      <c r="P21" s="31"/>
      <c r="Q21" s="29"/>
      <c r="R21" s="31"/>
      <c r="S21" s="30">
        <f t="shared" si="1"/>
        <v>759</v>
      </c>
    </row>
    <row r="22" spans="1:19" ht="15">
      <c r="A22" s="26">
        <v>18</v>
      </c>
      <c r="B22" s="27" t="s">
        <v>324</v>
      </c>
      <c r="C22" s="26">
        <v>470</v>
      </c>
      <c r="D22" s="26">
        <v>268</v>
      </c>
      <c r="E22" s="26">
        <v>18</v>
      </c>
      <c r="F22" s="26">
        <v>0</v>
      </c>
      <c r="G22" s="28">
        <f t="shared" si="0"/>
        <v>756</v>
      </c>
      <c r="H22" s="26">
        <v>-20</v>
      </c>
      <c r="I22" s="26"/>
      <c r="J22" s="26"/>
      <c r="K22" s="31"/>
      <c r="L22" s="31"/>
      <c r="M22" s="29"/>
      <c r="N22" s="29"/>
      <c r="O22" s="31"/>
      <c r="P22" s="31"/>
      <c r="Q22" s="29"/>
      <c r="R22" s="31"/>
      <c r="S22" s="30">
        <f t="shared" si="1"/>
        <v>736</v>
      </c>
    </row>
    <row r="23" spans="1:19" ht="15">
      <c r="A23" s="26">
        <v>19</v>
      </c>
      <c r="B23" s="27" t="s">
        <v>325</v>
      </c>
      <c r="C23" s="26">
        <v>155</v>
      </c>
      <c r="D23" s="26">
        <v>456</v>
      </c>
      <c r="E23" s="26">
        <v>72</v>
      </c>
      <c r="F23" s="26"/>
      <c r="G23" s="28">
        <f t="shared" si="0"/>
        <v>683</v>
      </c>
      <c r="H23" s="26">
        <v>-40</v>
      </c>
      <c r="I23" s="26"/>
      <c r="J23" s="26"/>
      <c r="K23" s="31"/>
      <c r="L23" s="31"/>
      <c r="M23" s="29"/>
      <c r="N23" s="29"/>
      <c r="O23" s="31"/>
      <c r="P23" s="31"/>
      <c r="Q23" s="29"/>
      <c r="R23" s="31"/>
      <c r="S23" s="30">
        <f t="shared" si="1"/>
        <v>643</v>
      </c>
    </row>
    <row r="24" spans="1:19" ht="15">
      <c r="A24" s="26">
        <v>20</v>
      </c>
      <c r="B24" s="27" t="s">
        <v>326</v>
      </c>
      <c r="C24" s="26">
        <v>580</v>
      </c>
      <c r="D24" s="26">
        <v>152</v>
      </c>
      <c r="E24" s="26">
        <v>15</v>
      </c>
      <c r="F24" s="26">
        <v>0</v>
      </c>
      <c r="G24" s="28">
        <f t="shared" si="0"/>
        <v>747</v>
      </c>
      <c r="H24" s="26"/>
      <c r="I24" s="26"/>
      <c r="J24" s="26"/>
      <c r="K24" s="31"/>
      <c r="L24" s="31"/>
      <c r="M24" s="29"/>
      <c r="N24" s="29"/>
      <c r="O24" s="31"/>
      <c r="P24" s="31"/>
      <c r="Q24" s="29"/>
      <c r="R24" s="31"/>
      <c r="S24" s="30">
        <f t="shared" si="1"/>
        <v>747</v>
      </c>
    </row>
    <row r="25" spans="1:19" ht="15">
      <c r="A25" s="26">
        <v>21</v>
      </c>
      <c r="B25" s="27" t="s">
        <v>327</v>
      </c>
      <c r="C25" s="8">
        <v>400</v>
      </c>
      <c r="D25" s="8">
        <v>340</v>
      </c>
      <c r="E25" s="26">
        <v>9</v>
      </c>
      <c r="F25" s="26">
        <v>0</v>
      </c>
      <c r="G25" s="28">
        <f t="shared" si="0"/>
        <v>749</v>
      </c>
      <c r="H25" s="26"/>
      <c r="I25" s="26"/>
      <c r="J25" s="26"/>
      <c r="K25" s="31"/>
      <c r="L25" s="31"/>
      <c r="M25" s="29"/>
      <c r="N25" s="29"/>
      <c r="O25" s="31"/>
      <c r="P25" s="31"/>
      <c r="Q25" s="29"/>
      <c r="R25" s="31"/>
      <c r="S25" s="30">
        <f t="shared" si="1"/>
        <v>749</v>
      </c>
    </row>
    <row r="26" spans="1:19" ht="15">
      <c r="A26" s="26">
        <v>22</v>
      </c>
      <c r="B26" s="27" t="s">
        <v>328</v>
      </c>
      <c r="C26" s="8">
        <v>340</v>
      </c>
      <c r="D26" s="8">
        <v>360</v>
      </c>
      <c r="E26" s="26">
        <v>21</v>
      </c>
      <c r="F26" s="26">
        <v>-2</v>
      </c>
      <c r="G26" s="28">
        <f t="shared" si="0"/>
        <v>719</v>
      </c>
      <c r="H26" s="26"/>
      <c r="I26" s="26"/>
      <c r="J26" s="26"/>
      <c r="K26" s="31"/>
      <c r="L26" s="31"/>
      <c r="M26" s="29"/>
      <c r="N26" s="29"/>
      <c r="O26" s="31"/>
      <c r="P26" s="31"/>
      <c r="Q26" s="29"/>
      <c r="R26" s="31"/>
      <c r="S26" s="30">
        <f t="shared" si="1"/>
        <v>719</v>
      </c>
    </row>
    <row r="27" spans="1:19" ht="15">
      <c r="A27" s="26">
        <v>23</v>
      </c>
      <c r="B27" s="27" t="s">
        <v>329</v>
      </c>
      <c r="C27" s="8">
        <v>130</v>
      </c>
      <c r="D27" s="8">
        <v>292</v>
      </c>
      <c r="E27" s="26">
        <v>186</v>
      </c>
      <c r="F27" s="26">
        <v>0</v>
      </c>
      <c r="G27" s="28">
        <f t="shared" si="0"/>
        <v>608</v>
      </c>
      <c r="H27" s="26">
        <v>-200</v>
      </c>
      <c r="I27" s="26"/>
      <c r="J27" s="26"/>
      <c r="K27" s="31"/>
      <c r="L27" s="31"/>
      <c r="M27" s="29"/>
      <c r="N27" s="29"/>
      <c r="O27" s="31"/>
      <c r="P27" s="31"/>
      <c r="Q27" s="29"/>
      <c r="R27" s="31"/>
      <c r="S27" s="30">
        <f t="shared" si="1"/>
        <v>408</v>
      </c>
    </row>
    <row r="28" spans="1:19" ht="15">
      <c r="A28" s="26">
        <v>24</v>
      </c>
      <c r="B28" s="27" t="s">
        <v>330</v>
      </c>
      <c r="C28" s="8">
        <v>330</v>
      </c>
      <c r="D28" s="8">
        <v>364</v>
      </c>
      <c r="E28" s="26">
        <v>21</v>
      </c>
      <c r="F28" s="26">
        <v>0</v>
      </c>
      <c r="G28" s="28">
        <f t="shared" si="0"/>
        <v>715</v>
      </c>
      <c r="H28" s="26">
        <v>-40</v>
      </c>
      <c r="I28" s="26"/>
      <c r="J28" s="26"/>
      <c r="K28" s="31"/>
      <c r="L28" s="31"/>
      <c r="M28" s="29"/>
      <c r="N28" s="29">
        <v>5</v>
      </c>
      <c r="O28" s="31"/>
      <c r="P28" s="31"/>
      <c r="Q28" s="29"/>
      <c r="R28" s="31">
        <v>2</v>
      </c>
      <c r="S28" s="30">
        <f t="shared" si="1"/>
        <v>682</v>
      </c>
    </row>
    <row r="29" spans="1:19" ht="15">
      <c r="A29" s="26">
        <v>25</v>
      </c>
      <c r="B29" s="27" t="s">
        <v>331</v>
      </c>
      <c r="C29" s="8">
        <v>160</v>
      </c>
      <c r="D29" s="8">
        <v>272</v>
      </c>
      <c r="E29" s="26">
        <v>147</v>
      </c>
      <c r="F29" s="26">
        <v>0</v>
      </c>
      <c r="G29" s="28">
        <f t="shared" si="0"/>
        <v>579</v>
      </c>
      <c r="H29" s="26">
        <v>-260</v>
      </c>
      <c r="I29" s="26"/>
      <c r="J29" s="26"/>
      <c r="K29" s="31"/>
      <c r="L29" s="31"/>
      <c r="M29" s="29"/>
      <c r="N29" s="29"/>
      <c r="O29" s="31"/>
      <c r="P29" s="31"/>
      <c r="Q29" s="29"/>
      <c r="R29" s="31"/>
      <c r="S29" s="30">
        <f t="shared" si="1"/>
        <v>319</v>
      </c>
    </row>
    <row r="30" spans="1:19" ht="15">
      <c r="A30" s="26">
        <v>26</v>
      </c>
      <c r="B30" s="27"/>
      <c r="C30" s="8"/>
      <c r="D30" s="8"/>
      <c r="E30" s="26"/>
      <c r="F30" s="26"/>
      <c r="G30" s="28">
        <f t="shared" si="0"/>
        <v>0</v>
      </c>
      <c r="H30" s="26"/>
      <c r="I30" s="26"/>
      <c r="J30" s="26"/>
      <c r="K30" s="31"/>
      <c r="L30" s="31"/>
      <c r="M30" s="29"/>
      <c r="N30" s="29"/>
      <c r="O30" s="31"/>
      <c r="P30" s="31"/>
      <c r="Q30" s="29"/>
      <c r="R30" s="31"/>
      <c r="S30" s="30">
        <f t="shared" si="1"/>
        <v>0</v>
      </c>
    </row>
    <row r="31" spans="1:19" ht="15">
      <c r="A31" s="26">
        <v>27</v>
      </c>
      <c r="B31" s="27"/>
      <c r="C31" s="8"/>
      <c r="D31" s="8"/>
      <c r="E31" s="26"/>
      <c r="F31" s="26"/>
      <c r="G31" s="28">
        <f t="shared" si="0"/>
        <v>0</v>
      </c>
      <c r="H31" s="26"/>
      <c r="I31" s="26"/>
      <c r="J31" s="26"/>
      <c r="K31" s="31"/>
      <c r="L31" s="31"/>
      <c r="M31" s="29"/>
      <c r="N31" s="29"/>
      <c r="O31" s="31"/>
      <c r="P31" s="31"/>
      <c r="Q31" s="29"/>
      <c r="R31" s="31"/>
      <c r="S31" s="30">
        <f t="shared" si="1"/>
        <v>0</v>
      </c>
    </row>
    <row r="32" spans="1:19" ht="15">
      <c r="A32" s="26">
        <v>28</v>
      </c>
      <c r="B32" s="27"/>
      <c r="C32" s="8"/>
      <c r="D32" s="8"/>
      <c r="E32" s="26"/>
      <c r="F32" s="26"/>
      <c r="G32" s="28">
        <f t="shared" si="0"/>
        <v>0</v>
      </c>
      <c r="H32" s="26"/>
      <c r="I32" s="26"/>
      <c r="J32" s="26"/>
      <c r="K32" s="31"/>
      <c r="L32" s="31"/>
      <c r="M32" s="29"/>
      <c r="N32" s="29"/>
      <c r="O32" s="31"/>
      <c r="P32" s="31"/>
      <c r="Q32" s="29"/>
      <c r="R32" s="31"/>
      <c r="S32" s="30">
        <f t="shared" si="1"/>
        <v>0</v>
      </c>
    </row>
    <row r="33" spans="1:19" ht="15">
      <c r="A33" s="26">
        <v>29</v>
      </c>
      <c r="B33" s="27"/>
      <c r="C33" s="8"/>
      <c r="D33" s="8"/>
      <c r="E33" s="26"/>
      <c r="F33" s="26"/>
      <c r="G33" s="28">
        <f t="shared" si="0"/>
        <v>0</v>
      </c>
      <c r="H33" s="26"/>
      <c r="I33" s="26"/>
      <c r="J33" s="26"/>
      <c r="K33" s="31"/>
      <c r="L33" s="31"/>
      <c r="M33" s="29"/>
      <c r="N33" s="29"/>
      <c r="O33" s="31"/>
      <c r="P33" s="31"/>
      <c r="Q33" s="29"/>
      <c r="R33" s="31"/>
      <c r="S33" s="30">
        <f t="shared" si="1"/>
        <v>0</v>
      </c>
    </row>
    <row r="34" spans="1:19" ht="15">
      <c r="A34" s="26">
        <v>30</v>
      </c>
      <c r="B34" s="27"/>
      <c r="C34" s="8"/>
      <c r="D34" s="8"/>
      <c r="E34" s="26"/>
      <c r="F34" s="26"/>
      <c r="G34" s="28">
        <f t="shared" si="0"/>
        <v>0</v>
      </c>
      <c r="H34" s="26"/>
      <c r="I34" s="26"/>
      <c r="J34" s="26"/>
      <c r="K34" s="31"/>
      <c r="L34" s="31"/>
      <c r="M34" s="29"/>
      <c r="N34" s="29"/>
      <c r="O34" s="31"/>
      <c r="P34" s="31"/>
      <c r="Q34" s="29"/>
      <c r="R34" s="31"/>
      <c r="S34" s="30">
        <f t="shared" si="1"/>
        <v>0</v>
      </c>
    </row>
    <row r="35" spans="1:19" ht="15">
      <c r="A35" s="99">
        <v>31</v>
      </c>
      <c r="B35" s="27" t="s">
        <v>332</v>
      </c>
      <c r="C35" s="100"/>
      <c r="D35" s="100"/>
      <c r="E35" s="99"/>
      <c r="F35" s="99"/>
      <c r="G35" s="101">
        <f>SUM(G5:G34)</f>
        <v>17801</v>
      </c>
      <c r="H35" s="99"/>
      <c r="I35" s="99"/>
      <c r="J35" s="99"/>
      <c r="L35" s="102"/>
      <c r="M35" s="99"/>
      <c r="N35" s="99"/>
      <c r="O35" s="102"/>
      <c r="P35" s="102"/>
      <c r="Q35" s="99"/>
      <c r="R35" s="102"/>
      <c r="S35" s="103">
        <f>SUM(S5:S34)</f>
        <v>16783</v>
      </c>
    </row>
    <row r="36" spans="7:12" ht="15">
      <c r="G36" s="55"/>
      <c r="H36" s="55" t="s">
        <v>333</v>
      </c>
      <c r="I36" s="55"/>
      <c r="J36" s="55"/>
      <c r="K36" s="55"/>
      <c r="L36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R31"/>
    </sheetView>
  </sheetViews>
  <sheetFormatPr defaultColWidth="9.140625" defaultRowHeight="15"/>
  <sheetData>
    <row r="1" spans="1:18" ht="15">
      <c r="A1" s="20"/>
      <c r="B1" s="20"/>
      <c r="C1" s="20"/>
      <c r="D1" s="20"/>
      <c r="E1" s="20"/>
      <c r="F1" s="20"/>
      <c r="G1" s="22"/>
      <c r="H1" s="22"/>
      <c r="I1" s="22"/>
      <c r="J1" s="104" t="s">
        <v>334</v>
      </c>
      <c r="K1" s="22"/>
      <c r="L1" s="22"/>
      <c r="M1" s="22"/>
      <c r="N1" s="22"/>
      <c r="O1" s="23" t="s">
        <v>0</v>
      </c>
      <c r="P1" s="23"/>
      <c r="Q1" s="23"/>
      <c r="R1" s="23">
        <v>22520</v>
      </c>
    </row>
    <row r="2" spans="1:18" ht="76.5">
      <c r="A2" s="305" t="s">
        <v>1</v>
      </c>
      <c r="B2" s="305" t="s">
        <v>2</v>
      </c>
      <c r="C2" s="306" t="s">
        <v>7</v>
      </c>
      <c r="D2" s="306" t="s">
        <v>8</v>
      </c>
      <c r="E2" s="306" t="s">
        <v>9</v>
      </c>
      <c r="F2" s="306" t="s">
        <v>10</v>
      </c>
      <c r="G2" s="306" t="s">
        <v>11</v>
      </c>
      <c r="H2" s="306" t="s">
        <v>4</v>
      </c>
      <c r="I2" s="306" t="s">
        <v>12</v>
      </c>
      <c r="J2" s="306" t="s">
        <v>13</v>
      </c>
      <c r="K2" s="306" t="s">
        <v>14</v>
      </c>
      <c r="L2" s="306" t="s">
        <v>15</v>
      </c>
      <c r="M2" s="306" t="s">
        <v>16</v>
      </c>
      <c r="N2" s="306" t="s">
        <v>17</v>
      </c>
      <c r="O2" s="306" t="s">
        <v>5</v>
      </c>
      <c r="P2" s="24" t="s">
        <v>18</v>
      </c>
      <c r="Q2" s="306" t="s">
        <v>6</v>
      </c>
      <c r="R2" s="338" t="s">
        <v>3</v>
      </c>
    </row>
    <row r="3" spans="1:18" ht="15">
      <c r="A3" s="305"/>
      <c r="B3" s="305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5"/>
      <c r="Q3" s="307"/>
      <c r="R3" s="338"/>
    </row>
    <row r="4" spans="1:18" ht="15">
      <c r="A4" s="26">
        <v>1</v>
      </c>
      <c r="B4" s="55" t="s">
        <v>335</v>
      </c>
      <c r="C4" s="26">
        <v>140</v>
      </c>
      <c r="D4" s="26">
        <v>272</v>
      </c>
      <c r="E4" s="26">
        <v>3</v>
      </c>
      <c r="F4" s="26">
        <v>0</v>
      </c>
      <c r="G4" s="26">
        <v>5</v>
      </c>
      <c r="H4" s="26"/>
      <c r="I4" s="26"/>
      <c r="J4" s="29"/>
      <c r="K4" s="29">
        <v>5</v>
      </c>
      <c r="L4" s="29">
        <v>5</v>
      </c>
      <c r="M4" s="31"/>
      <c r="N4" s="29"/>
      <c r="O4" s="29"/>
      <c r="P4" s="29">
        <v>5</v>
      </c>
      <c r="Q4" s="29">
        <v>2</v>
      </c>
      <c r="R4" s="31">
        <f aca="true" t="shared" si="0" ref="R4:R29">SUM(A4:Q4)</f>
        <v>438</v>
      </c>
    </row>
    <row r="5" spans="1:18" ht="22.5">
      <c r="A5" s="26">
        <v>2</v>
      </c>
      <c r="B5" s="105" t="s">
        <v>336</v>
      </c>
      <c r="C5" s="26">
        <v>75</v>
      </c>
      <c r="D5" s="26">
        <v>288</v>
      </c>
      <c r="E5" s="26">
        <v>6</v>
      </c>
      <c r="F5" s="26">
        <v>0</v>
      </c>
      <c r="G5" s="26">
        <v>0</v>
      </c>
      <c r="H5" s="26"/>
      <c r="I5" s="26"/>
      <c r="J5" s="31"/>
      <c r="K5" s="31">
        <v>5</v>
      </c>
      <c r="L5" s="31">
        <v>5</v>
      </c>
      <c r="M5" s="31"/>
      <c r="N5" s="31"/>
      <c r="O5" s="31"/>
      <c r="P5" s="31"/>
      <c r="Q5" s="31">
        <v>0</v>
      </c>
      <c r="R5" s="31">
        <f t="shared" si="0"/>
        <v>381</v>
      </c>
    </row>
    <row r="6" spans="1:18" ht="22.5">
      <c r="A6" s="26">
        <v>3</v>
      </c>
      <c r="B6" s="105" t="s">
        <v>337</v>
      </c>
      <c r="C6" s="26">
        <v>115</v>
      </c>
      <c r="D6" s="26">
        <v>128</v>
      </c>
      <c r="E6" s="26">
        <v>54</v>
      </c>
      <c r="F6" s="26">
        <v>0</v>
      </c>
      <c r="G6" s="26">
        <v>12</v>
      </c>
      <c r="H6" s="26">
        <v>5</v>
      </c>
      <c r="I6" s="26"/>
      <c r="J6" s="31"/>
      <c r="K6" s="31">
        <v>5</v>
      </c>
      <c r="L6" s="31">
        <v>5</v>
      </c>
      <c r="M6" s="31"/>
      <c r="N6" s="31"/>
      <c r="O6" s="31"/>
      <c r="P6" s="31"/>
      <c r="Q6" s="31">
        <v>2</v>
      </c>
      <c r="R6" s="31">
        <f t="shared" si="0"/>
        <v>329</v>
      </c>
    </row>
    <row r="7" spans="1:18" ht="22.5">
      <c r="A7" s="26">
        <v>4</v>
      </c>
      <c r="B7" s="105" t="s">
        <v>338</v>
      </c>
      <c r="C7" s="26">
        <v>195</v>
      </c>
      <c r="D7" s="26">
        <v>216</v>
      </c>
      <c r="E7" s="26">
        <v>0</v>
      </c>
      <c r="F7" s="26">
        <v>0</v>
      </c>
      <c r="G7" s="26">
        <v>0</v>
      </c>
      <c r="H7" s="26"/>
      <c r="I7" s="26"/>
      <c r="J7" s="31">
        <v>20</v>
      </c>
      <c r="K7" s="31">
        <v>5</v>
      </c>
      <c r="L7" s="31">
        <v>5</v>
      </c>
      <c r="M7" s="31"/>
      <c r="N7" s="31"/>
      <c r="O7" s="31"/>
      <c r="P7" s="31">
        <v>5</v>
      </c>
      <c r="Q7" s="31">
        <v>2</v>
      </c>
      <c r="R7" s="31">
        <f t="shared" si="0"/>
        <v>452</v>
      </c>
    </row>
    <row r="8" spans="1:18" ht="22.5">
      <c r="A8" s="26">
        <v>5</v>
      </c>
      <c r="B8" s="105" t="s">
        <v>339</v>
      </c>
      <c r="C8" s="26">
        <v>105</v>
      </c>
      <c r="D8" s="26">
        <v>232</v>
      </c>
      <c r="E8" s="26">
        <v>12</v>
      </c>
      <c r="F8" s="26">
        <v>0</v>
      </c>
      <c r="G8" s="26">
        <v>1</v>
      </c>
      <c r="H8" s="26"/>
      <c r="I8" s="26"/>
      <c r="J8" s="31"/>
      <c r="K8" s="31">
        <v>5</v>
      </c>
      <c r="L8" s="31">
        <v>5</v>
      </c>
      <c r="M8" s="31"/>
      <c r="N8" s="31"/>
      <c r="O8" s="31"/>
      <c r="P8" s="31"/>
      <c r="Q8" s="31">
        <v>0</v>
      </c>
      <c r="R8" s="31">
        <f t="shared" si="0"/>
        <v>365</v>
      </c>
    </row>
    <row r="9" spans="1:18" ht="22.5">
      <c r="A9" s="26">
        <v>6</v>
      </c>
      <c r="B9" s="105" t="s">
        <v>340</v>
      </c>
      <c r="C9" s="26">
        <v>40</v>
      </c>
      <c r="D9" s="26">
        <v>316</v>
      </c>
      <c r="E9" s="26">
        <v>0</v>
      </c>
      <c r="F9" s="26">
        <v>0</v>
      </c>
      <c r="G9" s="26">
        <v>1</v>
      </c>
      <c r="H9" s="26"/>
      <c r="I9" s="26"/>
      <c r="J9" s="31"/>
      <c r="K9" s="31">
        <v>5</v>
      </c>
      <c r="L9" s="31">
        <v>5</v>
      </c>
      <c r="M9" s="31"/>
      <c r="N9" s="31"/>
      <c r="O9" s="31"/>
      <c r="P9" s="31">
        <v>5</v>
      </c>
      <c r="Q9" s="31">
        <v>0</v>
      </c>
      <c r="R9" s="31">
        <f t="shared" si="0"/>
        <v>378</v>
      </c>
    </row>
    <row r="10" spans="1:18" ht="22.5">
      <c r="A10" s="26">
        <v>7</v>
      </c>
      <c r="B10" s="105" t="s">
        <v>341</v>
      </c>
      <c r="C10" s="26">
        <v>90</v>
      </c>
      <c r="D10" s="26">
        <v>350</v>
      </c>
      <c r="E10" s="26">
        <v>165</v>
      </c>
      <c r="F10" s="26">
        <v>-30</v>
      </c>
      <c r="G10" s="26">
        <v>50</v>
      </c>
      <c r="H10" s="26"/>
      <c r="I10" s="26"/>
      <c r="J10" s="31"/>
      <c r="K10" s="31">
        <v>5</v>
      </c>
      <c r="L10" s="31">
        <v>5</v>
      </c>
      <c r="M10" s="31"/>
      <c r="N10" s="31"/>
      <c r="O10" s="31"/>
      <c r="P10" s="31">
        <v>5</v>
      </c>
      <c r="Q10" s="31">
        <v>2</v>
      </c>
      <c r="R10" s="31">
        <f t="shared" si="0"/>
        <v>649</v>
      </c>
    </row>
    <row r="11" spans="1:18" ht="22.5">
      <c r="A11" s="26">
        <v>8</v>
      </c>
      <c r="B11" s="105" t="s">
        <v>342</v>
      </c>
      <c r="C11" s="26">
        <v>85</v>
      </c>
      <c r="D11" s="26">
        <v>200</v>
      </c>
      <c r="E11" s="26">
        <v>42</v>
      </c>
      <c r="F11" s="26">
        <v>0</v>
      </c>
      <c r="G11" s="26">
        <v>7</v>
      </c>
      <c r="H11" s="26">
        <v>5</v>
      </c>
      <c r="I11" s="26"/>
      <c r="J11" s="31"/>
      <c r="K11" s="31">
        <v>5</v>
      </c>
      <c r="L11" s="31">
        <v>5</v>
      </c>
      <c r="M11" s="31"/>
      <c r="N11" s="31"/>
      <c r="O11" s="31"/>
      <c r="P11" s="31">
        <v>5</v>
      </c>
      <c r="Q11" s="31">
        <v>2</v>
      </c>
      <c r="R11" s="31">
        <f t="shared" si="0"/>
        <v>364</v>
      </c>
    </row>
    <row r="12" spans="1:18" ht="22.5">
      <c r="A12" s="26">
        <v>9</v>
      </c>
      <c r="B12" s="105" t="s">
        <v>343</v>
      </c>
      <c r="C12" s="26">
        <v>260</v>
      </c>
      <c r="D12" s="26">
        <v>156</v>
      </c>
      <c r="E12" s="26">
        <v>0</v>
      </c>
      <c r="F12" s="26">
        <v>0</v>
      </c>
      <c r="G12" s="26">
        <v>0</v>
      </c>
      <c r="H12" s="26"/>
      <c r="I12" s="26"/>
      <c r="J12" s="31"/>
      <c r="K12" s="31">
        <v>5</v>
      </c>
      <c r="L12" s="31">
        <v>5</v>
      </c>
      <c r="M12" s="31"/>
      <c r="N12" s="31"/>
      <c r="O12" s="31"/>
      <c r="P12" s="31"/>
      <c r="Q12" s="31">
        <v>0</v>
      </c>
      <c r="R12" s="31">
        <f t="shared" si="0"/>
        <v>435</v>
      </c>
    </row>
    <row r="13" spans="1:18" ht="22.5">
      <c r="A13" s="26">
        <v>10</v>
      </c>
      <c r="B13" s="105" t="s">
        <v>344</v>
      </c>
      <c r="C13" s="26">
        <v>315</v>
      </c>
      <c r="D13" s="26">
        <v>196</v>
      </c>
      <c r="E13" s="26">
        <v>0</v>
      </c>
      <c r="F13" s="26">
        <v>0</v>
      </c>
      <c r="G13" s="26">
        <v>0</v>
      </c>
      <c r="H13" s="26">
        <v>5</v>
      </c>
      <c r="I13" s="26"/>
      <c r="J13" s="31">
        <v>60</v>
      </c>
      <c r="K13" s="31">
        <v>5</v>
      </c>
      <c r="L13" s="31">
        <v>5</v>
      </c>
      <c r="M13" s="31"/>
      <c r="N13" s="31"/>
      <c r="O13" s="31"/>
      <c r="P13" s="31"/>
      <c r="Q13" s="31">
        <v>0</v>
      </c>
      <c r="R13" s="31">
        <f t="shared" si="0"/>
        <v>596</v>
      </c>
    </row>
    <row r="14" spans="1:18" ht="22.5">
      <c r="A14" s="26">
        <v>11</v>
      </c>
      <c r="B14" s="105" t="s">
        <v>345</v>
      </c>
      <c r="C14" s="26">
        <v>360</v>
      </c>
      <c r="D14" s="26">
        <v>84</v>
      </c>
      <c r="E14" s="26">
        <v>0</v>
      </c>
      <c r="F14" s="26">
        <v>0</v>
      </c>
      <c r="G14" s="26">
        <v>0</v>
      </c>
      <c r="H14" s="26">
        <v>5</v>
      </c>
      <c r="I14" s="26"/>
      <c r="J14" s="31"/>
      <c r="K14" s="31">
        <v>5</v>
      </c>
      <c r="L14" s="31">
        <v>5</v>
      </c>
      <c r="M14" s="31"/>
      <c r="N14" s="31"/>
      <c r="O14" s="31"/>
      <c r="P14" s="31"/>
      <c r="Q14" s="31">
        <v>0</v>
      </c>
      <c r="R14" s="31">
        <f t="shared" si="0"/>
        <v>470</v>
      </c>
    </row>
    <row r="15" spans="1:18" ht="22.5">
      <c r="A15" s="26">
        <v>12</v>
      </c>
      <c r="B15" s="105" t="s">
        <v>346</v>
      </c>
      <c r="C15" s="26">
        <v>320</v>
      </c>
      <c r="D15" s="26">
        <v>64</v>
      </c>
      <c r="E15" s="26">
        <v>0</v>
      </c>
      <c r="F15" s="26">
        <v>0</v>
      </c>
      <c r="G15" s="26">
        <v>0</v>
      </c>
      <c r="H15" s="26"/>
      <c r="I15" s="26"/>
      <c r="J15" s="31">
        <v>40</v>
      </c>
      <c r="K15" s="31">
        <v>5</v>
      </c>
      <c r="L15" s="31">
        <v>5</v>
      </c>
      <c r="M15" s="31"/>
      <c r="N15" s="31"/>
      <c r="O15" s="31"/>
      <c r="P15" s="31">
        <v>5</v>
      </c>
      <c r="Q15" s="31">
        <v>2</v>
      </c>
      <c r="R15" s="31">
        <f t="shared" si="0"/>
        <v>453</v>
      </c>
    </row>
    <row r="16" spans="1:18" ht="22.5">
      <c r="A16" s="26">
        <v>13</v>
      </c>
      <c r="B16" s="105" t="s">
        <v>347</v>
      </c>
      <c r="C16" s="26">
        <v>90</v>
      </c>
      <c r="D16" s="26">
        <v>144</v>
      </c>
      <c r="E16" s="26">
        <v>39</v>
      </c>
      <c r="F16" s="26">
        <v>0</v>
      </c>
      <c r="G16" s="26">
        <v>5</v>
      </c>
      <c r="H16" s="26">
        <v>5</v>
      </c>
      <c r="I16" s="26"/>
      <c r="J16" s="31"/>
      <c r="K16" s="31">
        <v>5</v>
      </c>
      <c r="L16" s="31">
        <v>5</v>
      </c>
      <c r="M16" s="31">
        <v>8</v>
      </c>
      <c r="N16" s="31"/>
      <c r="O16" s="31"/>
      <c r="P16" s="31">
        <v>5</v>
      </c>
      <c r="Q16" s="31">
        <v>2</v>
      </c>
      <c r="R16" s="31">
        <f t="shared" si="0"/>
        <v>321</v>
      </c>
    </row>
    <row r="17" spans="1:18" ht="22.5">
      <c r="A17" s="26">
        <v>14</v>
      </c>
      <c r="B17" s="105" t="s">
        <v>348</v>
      </c>
      <c r="C17" s="26">
        <v>10</v>
      </c>
      <c r="D17" s="26">
        <v>148</v>
      </c>
      <c r="E17" s="26">
        <v>48</v>
      </c>
      <c r="F17" s="26">
        <v>-10</v>
      </c>
      <c r="G17" s="26">
        <v>11</v>
      </c>
      <c r="H17" s="26">
        <v>5</v>
      </c>
      <c r="I17" s="26"/>
      <c r="J17" s="31"/>
      <c r="K17" s="31">
        <v>5</v>
      </c>
      <c r="L17" s="31">
        <v>5</v>
      </c>
      <c r="M17" s="31"/>
      <c r="N17" s="31"/>
      <c r="O17" s="31"/>
      <c r="P17" s="31"/>
      <c r="Q17" s="31">
        <v>0</v>
      </c>
      <c r="R17" s="31">
        <f t="shared" si="0"/>
        <v>236</v>
      </c>
    </row>
    <row r="18" spans="1:18" ht="22.5">
      <c r="A18" s="26">
        <v>15</v>
      </c>
      <c r="B18" s="105" t="s">
        <v>349</v>
      </c>
      <c r="C18" s="26">
        <v>300</v>
      </c>
      <c r="D18" s="26">
        <v>84</v>
      </c>
      <c r="E18" s="26">
        <v>0</v>
      </c>
      <c r="F18" s="26">
        <v>0</v>
      </c>
      <c r="G18" s="26">
        <v>0</v>
      </c>
      <c r="H18" s="26">
        <v>5</v>
      </c>
      <c r="I18" s="26"/>
      <c r="J18" s="31">
        <v>40</v>
      </c>
      <c r="K18" s="31">
        <v>5</v>
      </c>
      <c r="L18" s="31">
        <v>5</v>
      </c>
      <c r="M18" s="31"/>
      <c r="N18" s="31"/>
      <c r="O18" s="31"/>
      <c r="P18" s="31">
        <v>5</v>
      </c>
      <c r="Q18" s="31">
        <v>2</v>
      </c>
      <c r="R18" s="31">
        <f t="shared" si="0"/>
        <v>461</v>
      </c>
    </row>
    <row r="19" spans="1:18" ht="33.75">
      <c r="A19" s="26">
        <v>16</v>
      </c>
      <c r="B19" s="105" t="s">
        <v>350</v>
      </c>
      <c r="C19" s="26">
        <v>150</v>
      </c>
      <c r="D19" s="26">
        <v>184</v>
      </c>
      <c r="E19" s="26">
        <v>3</v>
      </c>
      <c r="F19" s="26">
        <v>0</v>
      </c>
      <c r="G19" s="26">
        <v>2</v>
      </c>
      <c r="H19" s="26">
        <v>5</v>
      </c>
      <c r="I19" s="26"/>
      <c r="J19" s="31"/>
      <c r="K19" s="31">
        <v>5</v>
      </c>
      <c r="L19" s="31">
        <v>5</v>
      </c>
      <c r="M19" s="31"/>
      <c r="N19" s="31"/>
      <c r="O19" s="31"/>
      <c r="P19" s="31"/>
      <c r="Q19" s="31">
        <v>0</v>
      </c>
      <c r="R19" s="31">
        <f t="shared" si="0"/>
        <v>370</v>
      </c>
    </row>
    <row r="20" spans="1:18" ht="22.5">
      <c r="A20" s="26">
        <v>17</v>
      </c>
      <c r="B20" s="105" t="s">
        <v>351</v>
      </c>
      <c r="C20" s="26">
        <v>315</v>
      </c>
      <c r="D20" s="26">
        <v>60</v>
      </c>
      <c r="E20" s="26">
        <v>0</v>
      </c>
      <c r="F20" s="26">
        <v>0</v>
      </c>
      <c r="G20" s="26">
        <v>1</v>
      </c>
      <c r="H20" s="26"/>
      <c r="I20" s="26"/>
      <c r="J20" s="31"/>
      <c r="K20" s="31">
        <v>5</v>
      </c>
      <c r="L20" s="31">
        <v>5</v>
      </c>
      <c r="M20" s="31"/>
      <c r="N20" s="31"/>
      <c r="O20" s="31"/>
      <c r="P20" s="31"/>
      <c r="Q20" s="31">
        <v>0</v>
      </c>
      <c r="R20" s="31">
        <f t="shared" si="0"/>
        <v>403</v>
      </c>
    </row>
    <row r="21" spans="1:18" ht="22.5">
      <c r="A21" s="26">
        <v>18</v>
      </c>
      <c r="B21" s="105" t="s">
        <v>352</v>
      </c>
      <c r="C21" s="26">
        <v>30</v>
      </c>
      <c r="D21" s="26">
        <v>284</v>
      </c>
      <c r="E21" s="26">
        <v>6</v>
      </c>
      <c r="F21" s="26">
        <v>0</v>
      </c>
      <c r="G21" s="26">
        <v>0</v>
      </c>
      <c r="H21" s="26"/>
      <c r="I21" s="26"/>
      <c r="J21" s="31"/>
      <c r="K21" s="31">
        <v>5</v>
      </c>
      <c r="L21" s="31">
        <v>5</v>
      </c>
      <c r="M21" s="31"/>
      <c r="N21" s="31"/>
      <c r="O21" s="31"/>
      <c r="P21" s="31">
        <v>5</v>
      </c>
      <c r="Q21" s="31">
        <v>0</v>
      </c>
      <c r="R21" s="31">
        <f t="shared" si="0"/>
        <v>353</v>
      </c>
    </row>
    <row r="22" spans="1:18" ht="22.5">
      <c r="A22" s="26">
        <v>19</v>
      </c>
      <c r="B22" s="105" t="s">
        <v>353</v>
      </c>
      <c r="C22" s="26">
        <v>185</v>
      </c>
      <c r="D22" s="26">
        <v>140</v>
      </c>
      <c r="E22" s="26">
        <v>0</v>
      </c>
      <c r="F22" s="26">
        <v>0</v>
      </c>
      <c r="G22" s="26">
        <v>0</v>
      </c>
      <c r="H22" s="26"/>
      <c r="I22" s="26"/>
      <c r="J22" s="31"/>
      <c r="K22" s="31">
        <v>5</v>
      </c>
      <c r="L22" s="31">
        <v>5</v>
      </c>
      <c r="M22" s="31"/>
      <c r="N22" s="31"/>
      <c r="O22" s="31"/>
      <c r="P22" s="31">
        <v>5</v>
      </c>
      <c r="Q22" s="31">
        <v>0</v>
      </c>
      <c r="R22" s="31">
        <f t="shared" si="0"/>
        <v>359</v>
      </c>
    </row>
    <row r="23" spans="1:18" ht="22.5">
      <c r="A23" s="26">
        <v>20</v>
      </c>
      <c r="B23" s="105" t="s">
        <v>354</v>
      </c>
      <c r="C23" s="8">
        <v>245</v>
      </c>
      <c r="D23" s="8">
        <v>140</v>
      </c>
      <c r="E23" s="26">
        <v>0</v>
      </c>
      <c r="F23" s="26">
        <v>1</v>
      </c>
      <c r="G23" s="26"/>
      <c r="H23" s="26"/>
      <c r="I23" s="26"/>
      <c r="J23" s="31"/>
      <c r="K23" s="31">
        <v>5</v>
      </c>
      <c r="L23" s="31">
        <v>5</v>
      </c>
      <c r="M23" s="31"/>
      <c r="N23" s="31"/>
      <c r="O23" s="31"/>
      <c r="P23" s="31"/>
      <c r="Q23" s="31">
        <v>0</v>
      </c>
      <c r="R23" s="31">
        <f t="shared" si="0"/>
        <v>416</v>
      </c>
    </row>
    <row r="24" spans="1:18" ht="22.5">
      <c r="A24" s="26">
        <v>21</v>
      </c>
      <c r="B24" s="105" t="s">
        <v>355</v>
      </c>
      <c r="C24" s="8">
        <v>240</v>
      </c>
      <c r="D24" s="8">
        <v>104</v>
      </c>
      <c r="E24" s="26">
        <v>0</v>
      </c>
      <c r="F24" s="26">
        <v>0</v>
      </c>
      <c r="G24" s="26"/>
      <c r="H24" s="26"/>
      <c r="I24" s="26"/>
      <c r="J24" s="31">
        <v>20</v>
      </c>
      <c r="K24" s="31">
        <v>5</v>
      </c>
      <c r="L24" s="31">
        <v>5</v>
      </c>
      <c r="M24" s="31"/>
      <c r="N24" s="31"/>
      <c r="O24" s="31"/>
      <c r="P24" s="31">
        <v>5</v>
      </c>
      <c r="Q24" s="31">
        <v>0</v>
      </c>
      <c r="R24" s="31">
        <f t="shared" si="0"/>
        <v>400</v>
      </c>
    </row>
    <row r="25" spans="1:18" ht="22.5">
      <c r="A25" s="26">
        <v>22</v>
      </c>
      <c r="B25" s="105" t="s">
        <v>356</v>
      </c>
      <c r="C25" s="31">
        <v>70</v>
      </c>
      <c r="D25" s="31">
        <v>280</v>
      </c>
      <c r="E25" s="26">
        <v>0</v>
      </c>
      <c r="F25" s="31">
        <v>0</v>
      </c>
      <c r="G25" s="31"/>
      <c r="H25" s="31"/>
      <c r="I25" s="26"/>
      <c r="J25" s="31">
        <v>20</v>
      </c>
      <c r="K25" s="31">
        <v>5</v>
      </c>
      <c r="L25" s="26">
        <v>5</v>
      </c>
      <c r="M25" s="26"/>
      <c r="N25" s="31"/>
      <c r="O25" s="31"/>
      <c r="P25" s="31">
        <v>5</v>
      </c>
      <c r="Q25" s="31">
        <v>2</v>
      </c>
      <c r="R25" s="31">
        <f t="shared" si="0"/>
        <v>409</v>
      </c>
    </row>
    <row r="26" spans="1:18" ht="22.5">
      <c r="A26" s="26">
        <v>23</v>
      </c>
      <c r="B26" s="105" t="s">
        <v>357</v>
      </c>
      <c r="C26" s="31">
        <v>280</v>
      </c>
      <c r="D26" s="31">
        <v>60</v>
      </c>
      <c r="E26" s="26">
        <v>0</v>
      </c>
      <c r="F26" s="31">
        <v>0</v>
      </c>
      <c r="G26" s="31"/>
      <c r="H26" s="31"/>
      <c r="I26" s="31"/>
      <c r="J26" s="31">
        <v>20</v>
      </c>
      <c r="K26" s="31">
        <v>5</v>
      </c>
      <c r="L26" s="31">
        <v>5</v>
      </c>
      <c r="M26" s="31"/>
      <c r="N26" s="31"/>
      <c r="O26" s="31"/>
      <c r="P26" s="31">
        <v>5</v>
      </c>
      <c r="Q26" s="31">
        <v>2</v>
      </c>
      <c r="R26" s="31">
        <f t="shared" si="0"/>
        <v>400</v>
      </c>
    </row>
    <row r="27" spans="1:18" ht="15">
      <c r="A27" s="26">
        <v>24</v>
      </c>
      <c r="B27" s="105" t="s">
        <v>358</v>
      </c>
      <c r="C27" s="31">
        <v>280</v>
      </c>
      <c r="D27" s="31">
        <v>72</v>
      </c>
      <c r="E27" s="26">
        <v>0</v>
      </c>
      <c r="F27" s="31">
        <v>2</v>
      </c>
      <c r="G27" s="31"/>
      <c r="H27" s="31"/>
      <c r="I27" s="31"/>
      <c r="J27" s="31"/>
      <c r="K27" s="31">
        <v>5</v>
      </c>
      <c r="L27" s="31">
        <v>5</v>
      </c>
      <c r="M27" s="31"/>
      <c r="N27" s="31"/>
      <c r="O27" s="31"/>
      <c r="P27" s="31"/>
      <c r="Q27" s="31">
        <v>0</v>
      </c>
      <c r="R27" s="31">
        <f t="shared" si="0"/>
        <v>388</v>
      </c>
    </row>
    <row r="28" spans="1:18" ht="22.5">
      <c r="A28" s="26">
        <v>25</v>
      </c>
      <c r="B28" s="105" t="s">
        <v>359</v>
      </c>
      <c r="C28" s="31">
        <v>320</v>
      </c>
      <c r="D28" s="31">
        <v>176</v>
      </c>
      <c r="E28" s="26">
        <v>0</v>
      </c>
      <c r="F28" s="31">
        <v>0</v>
      </c>
      <c r="G28" s="31"/>
      <c r="H28" s="31"/>
      <c r="I28" s="31"/>
      <c r="J28" s="31">
        <v>20</v>
      </c>
      <c r="K28" s="31">
        <v>5</v>
      </c>
      <c r="L28" s="31">
        <v>5</v>
      </c>
      <c r="M28" s="31"/>
      <c r="N28" s="31"/>
      <c r="O28" s="31"/>
      <c r="P28" s="31"/>
      <c r="Q28" s="31">
        <v>0</v>
      </c>
      <c r="R28" s="31">
        <f t="shared" si="0"/>
        <v>551</v>
      </c>
    </row>
    <row r="29" spans="1:18" ht="22.5">
      <c r="A29" s="26">
        <v>26</v>
      </c>
      <c r="B29" s="105" t="s">
        <v>360</v>
      </c>
      <c r="C29" s="31">
        <v>75</v>
      </c>
      <c r="D29" s="31">
        <v>256</v>
      </c>
      <c r="E29" s="26">
        <v>0</v>
      </c>
      <c r="F29" s="31">
        <v>2</v>
      </c>
      <c r="G29" s="31"/>
      <c r="H29" s="31"/>
      <c r="I29" s="31"/>
      <c r="J29" s="31"/>
      <c r="K29" s="31">
        <v>5</v>
      </c>
      <c r="L29" s="31">
        <v>5</v>
      </c>
      <c r="M29" s="31"/>
      <c r="N29" s="31"/>
      <c r="O29" s="31"/>
      <c r="P29" s="31"/>
      <c r="Q29" s="31">
        <v>2</v>
      </c>
      <c r="R29" s="31">
        <f t="shared" si="0"/>
        <v>371</v>
      </c>
    </row>
    <row r="30" spans="1:18" ht="15.75">
      <c r="A30" s="26">
        <v>27</v>
      </c>
      <c r="B30" s="106" t="s">
        <v>361</v>
      </c>
      <c r="C30" s="31">
        <v>185</v>
      </c>
      <c r="D30" s="31">
        <v>196</v>
      </c>
      <c r="E30" s="31">
        <v>3</v>
      </c>
      <c r="F30" s="31">
        <v>0</v>
      </c>
      <c r="G30" s="31"/>
      <c r="H30" s="31">
        <v>5</v>
      </c>
      <c r="I30" s="31">
        <v>0</v>
      </c>
      <c r="J30" s="31"/>
      <c r="K30" s="31">
        <v>5</v>
      </c>
      <c r="L30" s="31">
        <v>5</v>
      </c>
      <c r="M30" s="31">
        <v>0</v>
      </c>
      <c r="N30" s="31">
        <v>0</v>
      </c>
      <c r="O30" s="31"/>
      <c r="P30" s="31">
        <v>5</v>
      </c>
      <c r="Q30" s="31">
        <v>2</v>
      </c>
      <c r="R30" s="31">
        <v>764</v>
      </c>
    </row>
    <row r="31" ht="33.75">
      <c r="B31" s="107" t="s">
        <v>362</v>
      </c>
    </row>
  </sheetData>
  <sheetProtection/>
  <mergeCells count="17">
    <mergeCell ref="M2:M3"/>
    <mergeCell ref="N2:N3"/>
    <mergeCell ref="O2:O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S24"/>
    </sheetView>
  </sheetViews>
  <sheetFormatPr defaultColWidth="9.140625" defaultRowHeight="15"/>
  <sheetData>
    <row r="1" spans="1:19" ht="18.75">
      <c r="A1" s="303" t="s">
        <v>363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10919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7" t="s">
        <v>364</v>
      </c>
      <c r="C5" s="26">
        <v>175</v>
      </c>
      <c r="D5" s="26">
        <v>360</v>
      </c>
      <c r="E5" s="26">
        <v>9</v>
      </c>
      <c r="F5" s="26">
        <v>0</v>
      </c>
      <c r="G5" s="28">
        <v>544</v>
      </c>
      <c r="H5" s="26">
        <v>2</v>
      </c>
      <c r="I5" s="26"/>
      <c r="J5" s="26"/>
      <c r="K5" s="29"/>
      <c r="L5" s="29"/>
      <c r="M5" s="29">
        <v>1</v>
      </c>
      <c r="N5" s="29"/>
      <c r="O5" s="29"/>
      <c r="P5" s="29"/>
      <c r="Q5" s="29"/>
      <c r="R5" s="29"/>
      <c r="S5" s="30">
        <v>547</v>
      </c>
    </row>
    <row r="6" spans="1:19" ht="15">
      <c r="A6" s="26">
        <v>2</v>
      </c>
      <c r="B6" s="27" t="s">
        <v>365</v>
      </c>
      <c r="C6" s="26">
        <v>510</v>
      </c>
      <c r="D6" s="26">
        <v>112</v>
      </c>
      <c r="E6" s="26">
        <v>0</v>
      </c>
      <c r="F6" s="26">
        <v>0</v>
      </c>
      <c r="G6" s="28">
        <f>C6+D6+E6-F6</f>
        <v>622</v>
      </c>
      <c r="H6" s="26"/>
      <c r="I6" s="26"/>
      <c r="J6" s="26"/>
      <c r="K6" s="31"/>
      <c r="L6" s="31"/>
      <c r="M6" s="29">
        <v>1</v>
      </c>
      <c r="N6" s="29"/>
      <c r="O6" s="31"/>
      <c r="P6" s="31"/>
      <c r="Q6" s="29"/>
      <c r="R6" s="31"/>
      <c r="S6" s="30">
        <v>623</v>
      </c>
    </row>
    <row r="7" spans="1:19" ht="15">
      <c r="A7" s="26">
        <v>3</v>
      </c>
      <c r="B7" s="27" t="s">
        <v>366</v>
      </c>
      <c r="C7" s="26">
        <v>235</v>
      </c>
      <c r="D7" s="26">
        <v>236</v>
      </c>
      <c r="E7" s="26">
        <v>12</v>
      </c>
      <c r="F7" s="26">
        <v>0</v>
      </c>
      <c r="G7" s="28">
        <f aca="true" t="shared" si="0" ref="G7:G24">C7+D7+E7-F7</f>
        <v>483</v>
      </c>
      <c r="H7" s="26">
        <v>1</v>
      </c>
      <c r="I7" s="26"/>
      <c r="J7" s="26"/>
      <c r="K7" s="31"/>
      <c r="L7" s="31"/>
      <c r="M7" s="29">
        <v>1</v>
      </c>
      <c r="N7" s="29"/>
      <c r="O7" s="31"/>
      <c r="P7" s="31"/>
      <c r="Q7" s="29"/>
      <c r="R7" s="31"/>
      <c r="S7" s="30">
        <v>485</v>
      </c>
    </row>
    <row r="8" spans="1:19" ht="15">
      <c r="A8" s="26">
        <v>4</v>
      </c>
      <c r="B8" s="27" t="s">
        <v>367</v>
      </c>
      <c r="C8" s="26">
        <v>220</v>
      </c>
      <c r="D8" s="26">
        <v>336</v>
      </c>
      <c r="E8" s="26">
        <v>27</v>
      </c>
      <c r="F8" s="26"/>
      <c r="G8" s="28">
        <f t="shared" si="0"/>
        <v>583</v>
      </c>
      <c r="H8" s="26"/>
      <c r="I8" s="26"/>
      <c r="J8" s="26"/>
      <c r="K8" s="31"/>
      <c r="L8" s="31"/>
      <c r="M8" s="29">
        <v>1</v>
      </c>
      <c r="N8" s="29"/>
      <c r="O8" s="31"/>
      <c r="P8" s="31"/>
      <c r="Q8" s="29"/>
      <c r="R8" s="31"/>
      <c r="S8" s="30">
        <v>584</v>
      </c>
    </row>
    <row r="9" spans="1:19" ht="15">
      <c r="A9" s="26">
        <v>5</v>
      </c>
      <c r="B9" s="27" t="s">
        <v>368</v>
      </c>
      <c r="C9" s="26">
        <v>170</v>
      </c>
      <c r="D9" s="26">
        <v>368</v>
      </c>
      <c r="E9" s="26">
        <v>12</v>
      </c>
      <c r="F9" s="26">
        <v>0</v>
      </c>
      <c r="G9" s="28">
        <f t="shared" si="0"/>
        <v>550</v>
      </c>
      <c r="H9" s="26"/>
      <c r="I9" s="26"/>
      <c r="J9" s="26"/>
      <c r="K9" s="31"/>
      <c r="L9" s="31"/>
      <c r="M9" s="29">
        <v>1</v>
      </c>
      <c r="N9" s="29"/>
      <c r="O9" s="31"/>
      <c r="P9" s="31"/>
      <c r="Q9" s="29"/>
      <c r="R9" s="31"/>
      <c r="S9" s="30">
        <v>551</v>
      </c>
    </row>
    <row r="10" spans="1:19" ht="15">
      <c r="A10" s="26">
        <v>6</v>
      </c>
      <c r="B10" s="27" t="s">
        <v>369</v>
      </c>
      <c r="C10" s="26">
        <v>245</v>
      </c>
      <c r="D10" s="26">
        <v>308</v>
      </c>
      <c r="E10" s="26">
        <v>0</v>
      </c>
      <c r="F10" s="26">
        <v>0</v>
      </c>
      <c r="G10" s="28">
        <f t="shared" si="0"/>
        <v>553</v>
      </c>
      <c r="H10" s="26">
        <v>4</v>
      </c>
      <c r="I10" s="26"/>
      <c r="J10" s="26"/>
      <c r="K10" s="31"/>
      <c r="L10" s="31"/>
      <c r="M10" s="29">
        <v>1</v>
      </c>
      <c r="N10" s="29"/>
      <c r="O10" s="31"/>
      <c r="P10" s="31"/>
      <c r="Q10" s="29"/>
      <c r="R10" s="31"/>
      <c r="S10" s="30">
        <v>558</v>
      </c>
    </row>
    <row r="11" spans="1:19" ht="15">
      <c r="A11" s="26">
        <v>7</v>
      </c>
      <c r="B11" s="27" t="s">
        <v>370</v>
      </c>
      <c r="C11" s="26">
        <v>365</v>
      </c>
      <c r="D11" s="26">
        <v>204</v>
      </c>
      <c r="E11" s="26">
        <v>6</v>
      </c>
      <c r="F11" s="26">
        <v>0</v>
      </c>
      <c r="G11" s="28">
        <f t="shared" si="0"/>
        <v>575</v>
      </c>
      <c r="H11" s="26"/>
      <c r="I11" s="26"/>
      <c r="J11" s="26"/>
      <c r="K11" s="31"/>
      <c r="L11" s="31"/>
      <c r="M11" s="29">
        <v>1</v>
      </c>
      <c r="N11" s="29"/>
      <c r="O11" s="31"/>
      <c r="P11" s="31"/>
      <c r="Q11" s="29"/>
      <c r="R11" s="31"/>
      <c r="S11" s="30">
        <v>576</v>
      </c>
    </row>
    <row r="12" spans="1:19" ht="15">
      <c r="A12" s="26">
        <v>8</v>
      </c>
      <c r="B12" s="27" t="s">
        <v>371</v>
      </c>
      <c r="C12" s="26">
        <v>80</v>
      </c>
      <c r="D12" s="26">
        <v>384</v>
      </c>
      <c r="E12" s="26">
        <v>3</v>
      </c>
      <c r="F12" s="26">
        <v>0</v>
      </c>
      <c r="G12" s="28">
        <f t="shared" si="0"/>
        <v>467</v>
      </c>
      <c r="H12" s="26">
        <v>3</v>
      </c>
      <c r="I12" s="26"/>
      <c r="J12" s="26"/>
      <c r="K12" s="31"/>
      <c r="L12" s="31"/>
      <c r="M12" s="29">
        <v>1</v>
      </c>
      <c r="N12" s="29"/>
      <c r="O12" s="31"/>
      <c r="P12" s="31"/>
      <c r="Q12" s="29"/>
      <c r="R12" s="31"/>
      <c r="S12" s="30">
        <v>471</v>
      </c>
    </row>
    <row r="13" spans="1:19" ht="15">
      <c r="A13" s="32">
        <v>9</v>
      </c>
      <c r="B13" s="33" t="s">
        <v>372</v>
      </c>
      <c r="C13" s="26">
        <v>375</v>
      </c>
      <c r="D13" s="26">
        <v>224</v>
      </c>
      <c r="E13" s="26">
        <v>0</v>
      </c>
      <c r="F13" s="26">
        <v>0</v>
      </c>
      <c r="G13" s="28">
        <f t="shared" si="0"/>
        <v>599</v>
      </c>
      <c r="H13" s="32">
        <v>1</v>
      </c>
      <c r="I13" s="32"/>
      <c r="J13" s="32"/>
      <c r="K13" s="34"/>
      <c r="L13" s="34"/>
      <c r="M13" s="32">
        <v>1</v>
      </c>
      <c r="N13" s="32"/>
      <c r="O13" s="34"/>
      <c r="P13" s="34"/>
      <c r="Q13" s="32"/>
      <c r="R13" s="34"/>
      <c r="S13" s="30">
        <v>601</v>
      </c>
    </row>
    <row r="14" spans="1:19" ht="15">
      <c r="A14" s="32">
        <v>10</v>
      </c>
      <c r="B14" s="27" t="s">
        <v>373</v>
      </c>
      <c r="C14" s="26">
        <v>215</v>
      </c>
      <c r="D14" s="26">
        <v>272</v>
      </c>
      <c r="E14" s="26">
        <v>4</v>
      </c>
      <c r="F14" s="26">
        <v>0</v>
      </c>
      <c r="G14" s="28">
        <f t="shared" si="0"/>
        <v>491</v>
      </c>
      <c r="H14" s="32">
        <v>4</v>
      </c>
      <c r="I14" s="32"/>
      <c r="J14" s="32"/>
      <c r="K14" s="34"/>
      <c r="L14" s="34"/>
      <c r="M14" s="32">
        <v>1</v>
      </c>
      <c r="N14" s="32"/>
      <c r="O14" s="34"/>
      <c r="P14" s="34"/>
      <c r="Q14" s="32"/>
      <c r="R14" s="34"/>
      <c r="S14" s="30">
        <v>496</v>
      </c>
    </row>
    <row r="15" spans="1:19" ht="15">
      <c r="A15" s="26">
        <v>11</v>
      </c>
      <c r="B15" s="27" t="s">
        <v>374</v>
      </c>
      <c r="C15" s="26">
        <v>385</v>
      </c>
      <c r="D15" s="26">
        <v>160</v>
      </c>
      <c r="E15" s="26">
        <v>0</v>
      </c>
      <c r="F15" s="26">
        <v>0</v>
      </c>
      <c r="G15" s="28">
        <f t="shared" si="0"/>
        <v>545</v>
      </c>
      <c r="H15" s="26">
        <v>4</v>
      </c>
      <c r="I15" s="26"/>
      <c r="J15" s="26"/>
      <c r="K15" s="31"/>
      <c r="L15" s="31"/>
      <c r="M15" s="29">
        <v>1</v>
      </c>
      <c r="N15" s="29"/>
      <c r="O15" s="31"/>
      <c r="P15" s="31"/>
      <c r="Q15" s="29"/>
      <c r="R15" s="31"/>
      <c r="S15" s="30">
        <v>550</v>
      </c>
    </row>
    <row r="16" spans="1:19" ht="15">
      <c r="A16" s="32">
        <v>12</v>
      </c>
      <c r="B16" s="27" t="s">
        <v>375</v>
      </c>
      <c r="C16" s="26">
        <v>130</v>
      </c>
      <c r="D16" s="26">
        <v>336</v>
      </c>
      <c r="E16" s="26">
        <v>54</v>
      </c>
      <c r="F16" s="26">
        <v>0</v>
      </c>
      <c r="G16" s="28">
        <f t="shared" si="0"/>
        <v>520</v>
      </c>
      <c r="H16" s="32">
        <v>4</v>
      </c>
      <c r="I16" s="32"/>
      <c r="J16" s="32"/>
      <c r="K16" s="34"/>
      <c r="L16" s="34"/>
      <c r="M16" s="32">
        <v>1</v>
      </c>
      <c r="N16" s="32"/>
      <c r="O16" s="34"/>
      <c r="P16" s="34"/>
      <c r="Q16" s="32"/>
      <c r="R16" s="34"/>
      <c r="S16" s="30">
        <v>525</v>
      </c>
    </row>
    <row r="17" spans="1:19" ht="15">
      <c r="A17" s="26">
        <v>13</v>
      </c>
      <c r="B17" s="27" t="s">
        <v>376</v>
      </c>
      <c r="C17" s="26">
        <v>115</v>
      </c>
      <c r="D17" s="26">
        <v>352</v>
      </c>
      <c r="E17" s="26">
        <v>24</v>
      </c>
      <c r="F17" s="26">
        <v>0</v>
      </c>
      <c r="G17" s="28">
        <f t="shared" si="0"/>
        <v>491</v>
      </c>
      <c r="H17" s="26">
        <v>13</v>
      </c>
      <c r="I17" s="26"/>
      <c r="J17" s="26"/>
      <c r="K17" s="31"/>
      <c r="L17" s="31"/>
      <c r="M17" s="29">
        <v>1</v>
      </c>
      <c r="N17" s="29"/>
      <c r="O17" s="31"/>
      <c r="P17" s="31"/>
      <c r="Q17" s="29"/>
      <c r="R17" s="31"/>
      <c r="S17" s="30">
        <v>505</v>
      </c>
    </row>
    <row r="18" spans="1:19" ht="15">
      <c r="A18" s="26">
        <v>14</v>
      </c>
      <c r="B18" s="27" t="s">
        <v>377</v>
      </c>
      <c r="C18" s="26">
        <v>105</v>
      </c>
      <c r="D18" s="26">
        <v>260</v>
      </c>
      <c r="E18" s="26">
        <v>93</v>
      </c>
      <c r="F18" s="26">
        <v>0</v>
      </c>
      <c r="G18" s="28">
        <f t="shared" si="0"/>
        <v>458</v>
      </c>
      <c r="H18" s="26">
        <v>12</v>
      </c>
      <c r="I18" s="26"/>
      <c r="J18" s="26"/>
      <c r="K18" s="31"/>
      <c r="L18" s="31"/>
      <c r="M18" s="29">
        <v>1</v>
      </c>
      <c r="N18" s="29"/>
      <c r="O18" s="31"/>
      <c r="P18" s="31"/>
      <c r="Q18" s="29"/>
      <c r="R18" s="31"/>
      <c r="S18" s="30">
        <v>471</v>
      </c>
    </row>
    <row r="19" spans="1:19" ht="15">
      <c r="A19" s="26">
        <v>15</v>
      </c>
      <c r="B19" s="27" t="s">
        <v>378</v>
      </c>
      <c r="C19" s="26">
        <v>125</v>
      </c>
      <c r="D19" s="26">
        <v>336</v>
      </c>
      <c r="E19" s="26">
        <v>48</v>
      </c>
      <c r="F19" s="26">
        <v>1</v>
      </c>
      <c r="G19" s="28">
        <f t="shared" si="0"/>
        <v>508</v>
      </c>
      <c r="H19" s="26">
        <v>4</v>
      </c>
      <c r="I19" s="26"/>
      <c r="J19" s="26"/>
      <c r="K19" s="31"/>
      <c r="L19" s="31"/>
      <c r="M19" s="29">
        <v>1</v>
      </c>
      <c r="N19" s="29"/>
      <c r="O19" s="31"/>
      <c r="P19" s="31"/>
      <c r="Q19" s="29"/>
      <c r="R19" s="31"/>
      <c r="S19" s="30">
        <v>513</v>
      </c>
    </row>
    <row r="20" spans="1:19" ht="15">
      <c r="A20" s="26">
        <v>16</v>
      </c>
      <c r="B20" s="27" t="s">
        <v>379</v>
      </c>
      <c r="C20" s="26">
        <v>170</v>
      </c>
      <c r="D20" s="26">
        <v>364</v>
      </c>
      <c r="E20" s="26">
        <v>12</v>
      </c>
      <c r="F20" s="26">
        <v>0</v>
      </c>
      <c r="G20" s="28">
        <f t="shared" si="0"/>
        <v>546</v>
      </c>
      <c r="H20" s="26">
        <v>3</v>
      </c>
      <c r="I20" s="26"/>
      <c r="J20" s="26"/>
      <c r="K20" s="31"/>
      <c r="L20" s="31"/>
      <c r="M20" s="29">
        <v>1</v>
      </c>
      <c r="N20" s="29"/>
      <c r="O20" s="31"/>
      <c r="P20" s="31"/>
      <c r="Q20" s="29"/>
      <c r="R20" s="31"/>
      <c r="S20" s="30">
        <v>550</v>
      </c>
    </row>
    <row r="21" spans="1:19" ht="15">
      <c r="A21" s="26">
        <v>17</v>
      </c>
      <c r="B21" s="27" t="s">
        <v>380</v>
      </c>
      <c r="C21" s="26">
        <v>185</v>
      </c>
      <c r="D21" s="26">
        <v>352</v>
      </c>
      <c r="E21" s="26">
        <v>18</v>
      </c>
      <c r="F21" s="26">
        <v>0</v>
      </c>
      <c r="G21" s="28">
        <f t="shared" si="0"/>
        <v>555</v>
      </c>
      <c r="H21" s="26">
        <v>1</v>
      </c>
      <c r="I21" s="26"/>
      <c r="J21" s="26"/>
      <c r="K21" s="31"/>
      <c r="L21" s="31"/>
      <c r="M21" s="29">
        <v>1</v>
      </c>
      <c r="N21" s="29"/>
      <c r="O21" s="31"/>
      <c r="P21" s="31"/>
      <c r="Q21" s="29"/>
      <c r="R21" s="31"/>
      <c r="S21" s="30">
        <v>557</v>
      </c>
    </row>
    <row r="22" spans="1:19" ht="15">
      <c r="A22" s="26">
        <v>18</v>
      </c>
      <c r="B22" s="27" t="s">
        <v>381</v>
      </c>
      <c r="C22" s="26">
        <v>410</v>
      </c>
      <c r="D22" s="26">
        <v>204</v>
      </c>
      <c r="E22" s="26">
        <v>0</v>
      </c>
      <c r="F22" s="26">
        <v>0</v>
      </c>
      <c r="G22" s="28">
        <f t="shared" si="0"/>
        <v>614</v>
      </c>
      <c r="H22" s="26"/>
      <c r="I22" s="26"/>
      <c r="J22" s="26"/>
      <c r="K22" s="31"/>
      <c r="L22" s="31"/>
      <c r="M22" s="29">
        <v>1</v>
      </c>
      <c r="N22" s="29"/>
      <c r="O22" s="31"/>
      <c r="P22" s="31"/>
      <c r="Q22" s="29"/>
      <c r="R22" s="31"/>
      <c r="S22" s="30">
        <v>615</v>
      </c>
    </row>
    <row r="23" spans="1:19" ht="15">
      <c r="A23" s="26">
        <v>19</v>
      </c>
      <c r="B23" s="27" t="s">
        <v>382</v>
      </c>
      <c r="C23" s="26">
        <v>345</v>
      </c>
      <c r="D23" s="26">
        <v>224</v>
      </c>
      <c r="E23" s="26">
        <v>0</v>
      </c>
      <c r="F23" s="26">
        <v>0</v>
      </c>
      <c r="G23" s="28">
        <f t="shared" si="0"/>
        <v>569</v>
      </c>
      <c r="H23" s="26">
        <v>1</v>
      </c>
      <c r="I23" s="26"/>
      <c r="J23" s="26"/>
      <c r="K23" s="31">
        <v>1</v>
      </c>
      <c r="L23" s="31"/>
      <c r="M23" s="29">
        <v>1</v>
      </c>
      <c r="N23" s="29"/>
      <c r="O23" s="31"/>
      <c r="P23" s="31"/>
      <c r="Q23" s="29"/>
      <c r="R23" s="31"/>
      <c r="S23" s="30">
        <v>572</v>
      </c>
    </row>
    <row r="24" spans="1:19" ht="15">
      <c r="A24" s="26">
        <v>20</v>
      </c>
      <c r="B24" s="27" t="s">
        <v>383</v>
      </c>
      <c r="C24" s="26">
        <v>205</v>
      </c>
      <c r="D24" s="26">
        <v>344</v>
      </c>
      <c r="E24" s="26">
        <v>15</v>
      </c>
      <c r="F24" s="26">
        <v>0</v>
      </c>
      <c r="G24" s="28">
        <f t="shared" si="0"/>
        <v>564</v>
      </c>
      <c r="H24" s="26">
        <v>4</v>
      </c>
      <c r="I24" s="26"/>
      <c r="J24" s="26"/>
      <c r="K24" s="31"/>
      <c r="L24" s="31"/>
      <c r="M24" s="29">
        <v>1</v>
      </c>
      <c r="N24" s="29"/>
      <c r="O24" s="31"/>
      <c r="P24" s="31"/>
      <c r="Q24" s="29"/>
      <c r="R24" s="31"/>
      <c r="S24" s="30">
        <v>569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34"/>
    </sheetView>
  </sheetViews>
  <sheetFormatPr defaultColWidth="9.140625" defaultRowHeight="15"/>
  <sheetData>
    <row r="1" spans="1:19" ht="18.75">
      <c r="A1" s="303" t="s">
        <v>384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16558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22.5">
      <c r="A5" s="26">
        <v>1</v>
      </c>
      <c r="B5" s="105" t="s">
        <v>385</v>
      </c>
      <c r="C5" s="26">
        <v>510</v>
      </c>
      <c r="D5" s="26">
        <v>140</v>
      </c>
      <c r="E5" s="26">
        <v>0</v>
      </c>
      <c r="F5" s="26">
        <v>0</v>
      </c>
      <c r="G5" s="28">
        <f>C5+D5+E5+F5</f>
        <v>650</v>
      </c>
      <c r="H5" s="26">
        <v>0</v>
      </c>
      <c r="I5" s="26">
        <v>20</v>
      </c>
      <c r="J5" s="26">
        <v>0</v>
      </c>
      <c r="K5" s="29">
        <v>0</v>
      </c>
      <c r="L5" s="29">
        <v>5</v>
      </c>
      <c r="M5" s="29">
        <v>10</v>
      </c>
      <c r="N5" s="31">
        <v>8</v>
      </c>
      <c r="O5" s="29">
        <v>0</v>
      </c>
      <c r="P5" s="29">
        <v>0</v>
      </c>
      <c r="Q5" s="29">
        <v>5</v>
      </c>
      <c r="R5" s="29">
        <v>2</v>
      </c>
      <c r="S5" s="30">
        <f>G5+I5+L5+M5+N5+Q5+R5</f>
        <v>700</v>
      </c>
    </row>
    <row r="6" spans="1:19" ht="22.5">
      <c r="A6" s="26">
        <v>2</v>
      </c>
      <c r="B6" s="105" t="s">
        <v>386</v>
      </c>
      <c r="C6" s="26">
        <v>330</v>
      </c>
      <c r="D6" s="26">
        <v>118</v>
      </c>
      <c r="E6" s="26">
        <v>9</v>
      </c>
      <c r="F6" s="26">
        <v>0</v>
      </c>
      <c r="G6" s="28">
        <f>C6+D6+E6+F6</f>
        <v>457</v>
      </c>
      <c r="H6" s="26">
        <v>0</v>
      </c>
      <c r="I6" s="26">
        <v>0</v>
      </c>
      <c r="J6" s="26">
        <v>0</v>
      </c>
      <c r="K6" s="31">
        <v>0</v>
      </c>
      <c r="L6" s="31">
        <v>0</v>
      </c>
      <c r="M6" s="31">
        <v>5</v>
      </c>
      <c r="N6" s="31">
        <v>0</v>
      </c>
      <c r="O6" s="31">
        <v>0</v>
      </c>
      <c r="P6" s="31">
        <v>0</v>
      </c>
      <c r="Q6" s="31">
        <v>5</v>
      </c>
      <c r="R6" s="31">
        <v>0</v>
      </c>
      <c r="S6" s="30">
        <f>G6+M6+Q6</f>
        <v>467</v>
      </c>
    </row>
    <row r="7" spans="1:19" ht="22.5">
      <c r="A7" s="26">
        <v>3</v>
      </c>
      <c r="B7" s="105" t="s">
        <v>387</v>
      </c>
      <c r="C7" s="26">
        <v>420</v>
      </c>
      <c r="D7" s="26">
        <v>156</v>
      </c>
      <c r="E7" s="26">
        <v>0</v>
      </c>
      <c r="F7" s="26">
        <v>0</v>
      </c>
      <c r="G7" s="28">
        <f>C7+D7+E7+F7</f>
        <v>576</v>
      </c>
      <c r="H7" s="26">
        <v>0</v>
      </c>
      <c r="I7" s="26">
        <v>15</v>
      </c>
      <c r="J7" s="26">
        <v>0</v>
      </c>
      <c r="K7" s="31">
        <v>0</v>
      </c>
      <c r="L7" s="31">
        <v>0</v>
      </c>
      <c r="M7" s="31">
        <v>10</v>
      </c>
      <c r="N7" s="31">
        <v>8</v>
      </c>
      <c r="O7" s="31">
        <v>0</v>
      </c>
      <c r="P7" s="31">
        <v>0</v>
      </c>
      <c r="Q7" s="31">
        <v>5</v>
      </c>
      <c r="R7" s="31">
        <v>2</v>
      </c>
      <c r="S7" s="30">
        <f>G7+I7+M7+N7+Q7+R7</f>
        <v>616</v>
      </c>
    </row>
    <row r="8" spans="1:19" ht="22.5">
      <c r="A8" s="26">
        <v>4</v>
      </c>
      <c r="B8" s="105" t="s">
        <v>388</v>
      </c>
      <c r="C8" s="26">
        <v>325</v>
      </c>
      <c r="D8" s="26">
        <v>164</v>
      </c>
      <c r="E8" s="26">
        <v>6</v>
      </c>
      <c r="F8" s="26">
        <v>0</v>
      </c>
      <c r="G8" s="28">
        <f>C8+D8+E8</f>
        <v>495</v>
      </c>
      <c r="H8" s="26">
        <v>0</v>
      </c>
      <c r="I8" s="26">
        <v>0</v>
      </c>
      <c r="J8" s="26">
        <v>0</v>
      </c>
      <c r="K8" s="31">
        <v>0</v>
      </c>
      <c r="L8" s="31">
        <v>0</v>
      </c>
      <c r="M8" s="31">
        <v>5</v>
      </c>
      <c r="N8" s="31">
        <v>0</v>
      </c>
      <c r="O8" s="31">
        <v>0</v>
      </c>
      <c r="P8" s="31">
        <v>0</v>
      </c>
      <c r="Q8" s="31">
        <v>5</v>
      </c>
      <c r="R8" s="31">
        <v>0</v>
      </c>
      <c r="S8" s="30">
        <f>G8+M8+Q8</f>
        <v>505</v>
      </c>
    </row>
    <row r="9" spans="1:19" ht="22.5">
      <c r="A9" s="26">
        <v>5</v>
      </c>
      <c r="B9" s="105" t="s">
        <v>389</v>
      </c>
      <c r="C9" s="26">
        <v>345</v>
      </c>
      <c r="D9" s="26">
        <v>184</v>
      </c>
      <c r="E9" s="26">
        <v>9</v>
      </c>
      <c r="F9" s="26">
        <v>0</v>
      </c>
      <c r="G9" s="28">
        <f>C9+D9+E9</f>
        <v>538</v>
      </c>
      <c r="H9" s="26">
        <v>-4</v>
      </c>
      <c r="I9" s="26">
        <v>0</v>
      </c>
      <c r="J9" s="26">
        <v>0</v>
      </c>
      <c r="K9" s="31">
        <v>0</v>
      </c>
      <c r="L9" s="31">
        <v>0</v>
      </c>
      <c r="M9" s="31">
        <v>5</v>
      </c>
      <c r="N9" s="31">
        <v>0</v>
      </c>
      <c r="O9" s="31">
        <v>0</v>
      </c>
      <c r="P9" s="31">
        <v>0</v>
      </c>
      <c r="Q9" s="31">
        <v>5</v>
      </c>
      <c r="R9" s="31">
        <v>0</v>
      </c>
      <c r="S9" s="30">
        <f>G9+H9+M9+Q9</f>
        <v>544</v>
      </c>
    </row>
    <row r="10" spans="1:19" ht="22.5">
      <c r="A10" s="26">
        <v>6</v>
      </c>
      <c r="B10" s="105" t="s">
        <v>390</v>
      </c>
      <c r="C10" s="26">
        <v>310</v>
      </c>
      <c r="D10" s="26">
        <v>116</v>
      </c>
      <c r="E10" s="26">
        <v>3</v>
      </c>
      <c r="F10" s="26">
        <v>0</v>
      </c>
      <c r="G10" s="28">
        <f>C10+D10+E10</f>
        <v>429</v>
      </c>
      <c r="H10" s="26">
        <v>-6</v>
      </c>
      <c r="I10" s="26">
        <v>10</v>
      </c>
      <c r="J10" s="26">
        <v>0</v>
      </c>
      <c r="K10" s="31">
        <v>0</v>
      </c>
      <c r="L10" s="31">
        <v>10</v>
      </c>
      <c r="M10" s="31">
        <v>0</v>
      </c>
      <c r="N10" s="31">
        <v>0</v>
      </c>
      <c r="O10" s="31">
        <v>0</v>
      </c>
      <c r="P10" s="31">
        <v>0</v>
      </c>
      <c r="Q10" s="31">
        <v>5</v>
      </c>
      <c r="R10" s="31">
        <v>0</v>
      </c>
      <c r="S10" s="30">
        <f>G10+H10+I10+L10+Q10</f>
        <v>448</v>
      </c>
    </row>
    <row r="11" spans="1:19" ht="22.5">
      <c r="A11" s="26">
        <v>7</v>
      </c>
      <c r="B11" s="105" t="s">
        <v>391</v>
      </c>
      <c r="C11" s="26">
        <v>425</v>
      </c>
      <c r="D11" s="26">
        <v>162</v>
      </c>
      <c r="E11" s="26">
        <v>0</v>
      </c>
      <c r="F11" s="26">
        <v>0</v>
      </c>
      <c r="G11" s="28">
        <f>C11+D11</f>
        <v>587</v>
      </c>
      <c r="H11" s="26">
        <v>-2</v>
      </c>
      <c r="I11" s="26">
        <v>0</v>
      </c>
      <c r="J11" s="26">
        <v>0</v>
      </c>
      <c r="K11" s="31">
        <v>0</v>
      </c>
      <c r="L11" s="31">
        <v>0</v>
      </c>
      <c r="M11" s="31">
        <v>5</v>
      </c>
      <c r="N11" s="31">
        <v>0</v>
      </c>
      <c r="O11" s="31">
        <v>0</v>
      </c>
      <c r="P11" s="31">
        <v>0</v>
      </c>
      <c r="Q11" s="31">
        <v>5</v>
      </c>
      <c r="R11" s="31">
        <v>0</v>
      </c>
      <c r="S11" s="30">
        <f>G11+H11+M11+Q11</f>
        <v>595</v>
      </c>
    </row>
    <row r="12" spans="1:19" ht="22.5">
      <c r="A12" s="26">
        <v>8</v>
      </c>
      <c r="B12" s="105" t="s">
        <v>392</v>
      </c>
      <c r="C12" s="26">
        <v>335</v>
      </c>
      <c r="D12" s="26">
        <v>126</v>
      </c>
      <c r="E12" s="26">
        <v>15</v>
      </c>
      <c r="F12" s="26">
        <v>0</v>
      </c>
      <c r="G12" s="28">
        <f>C12+D12+E12</f>
        <v>476</v>
      </c>
      <c r="H12" s="26">
        <v>0</v>
      </c>
      <c r="I12" s="26">
        <v>15</v>
      </c>
      <c r="J12" s="26">
        <v>0</v>
      </c>
      <c r="K12" s="31">
        <v>0</v>
      </c>
      <c r="L12" s="31">
        <v>0</v>
      </c>
      <c r="M12" s="31">
        <v>10</v>
      </c>
      <c r="N12" s="31">
        <v>8</v>
      </c>
      <c r="O12" s="31">
        <v>0</v>
      </c>
      <c r="P12" s="31">
        <v>0</v>
      </c>
      <c r="Q12" s="31">
        <v>5</v>
      </c>
      <c r="R12" s="31">
        <v>2</v>
      </c>
      <c r="S12" s="30">
        <f>G12+I12+M12+N12+Q12</f>
        <v>514</v>
      </c>
    </row>
    <row r="13" spans="1:19" ht="22.5">
      <c r="A13" s="32">
        <v>9</v>
      </c>
      <c r="B13" s="105" t="s">
        <v>393</v>
      </c>
      <c r="C13" s="26">
        <v>415</v>
      </c>
      <c r="D13" s="26">
        <v>168</v>
      </c>
      <c r="E13" s="26">
        <v>0</v>
      </c>
      <c r="F13" s="26">
        <v>0</v>
      </c>
      <c r="G13" s="28">
        <f>C13+D13</f>
        <v>583</v>
      </c>
      <c r="H13" s="26">
        <v>-2</v>
      </c>
      <c r="I13" s="26">
        <v>0</v>
      </c>
      <c r="J13" s="26">
        <v>0</v>
      </c>
      <c r="K13" s="31">
        <v>0</v>
      </c>
      <c r="L13" s="31">
        <v>0</v>
      </c>
      <c r="M13" s="31">
        <v>5</v>
      </c>
      <c r="N13" s="31">
        <v>0</v>
      </c>
      <c r="O13" s="31">
        <v>0</v>
      </c>
      <c r="P13" s="31">
        <v>0</v>
      </c>
      <c r="Q13" s="31">
        <v>5</v>
      </c>
      <c r="R13" s="31">
        <v>0</v>
      </c>
      <c r="S13" s="30">
        <f>G13+H13+M13+Q13</f>
        <v>591</v>
      </c>
    </row>
    <row r="14" spans="1:19" ht="22.5">
      <c r="A14" s="32">
        <v>10</v>
      </c>
      <c r="B14" s="105" t="s">
        <v>394</v>
      </c>
      <c r="C14" s="26">
        <v>420</v>
      </c>
      <c r="D14" s="26">
        <v>162</v>
      </c>
      <c r="E14" s="26">
        <v>0</v>
      </c>
      <c r="F14" s="26">
        <v>0</v>
      </c>
      <c r="G14" s="28">
        <f>C14+D14</f>
        <v>582</v>
      </c>
      <c r="H14" s="26">
        <v>0</v>
      </c>
      <c r="I14" s="26">
        <v>0</v>
      </c>
      <c r="J14" s="26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5</v>
      </c>
      <c r="R14" s="31">
        <v>0</v>
      </c>
      <c r="S14" s="30">
        <f>G14+Q14</f>
        <v>587</v>
      </c>
    </row>
    <row r="15" spans="1:19" ht="22.5">
      <c r="A15" s="26">
        <v>11</v>
      </c>
      <c r="B15" s="105" t="s">
        <v>395</v>
      </c>
      <c r="C15" s="26">
        <v>345</v>
      </c>
      <c r="D15" s="26">
        <v>164</v>
      </c>
      <c r="E15" s="26">
        <v>3</v>
      </c>
      <c r="F15" s="26">
        <v>0</v>
      </c>
      <c r="G15" s="28">
        <f>C15+D15+E15</f>
        <v>512</v>
      </c>
      <c r="H15" s="26">
        <v>-2</v>
      </c>
      <c r="I15" s="26">
        <v>0</v>
      </c>
      <c r="J15" s="26">
        <v>0</v>
      </c>
      <c r="K15" s="31">
        <v>0</v>
      </c>
      <c r="L15" s="31">
        <v>0</v>
      </c>
      <c r="M15" s="31">
        <v>5</v>
      </c>
      <c r="N15" s="31">
        <v>0</v>
      </c>
      <c r="O15" s="31">
        <v>0</v>
      </c>
      <c r="P15" s="31">
        <v>0</v>
      </c>
      <c r="Q15" s="31">
        <v>5</v>
      </c>
      <c r="R15" s="31">
        <v>0</v>
      </c>
      <c r="S15" s="30">
        <f>G15+H15+M15+Q15</f>
        <v>520</v>
      </c>
    </row>
    <row r="16" spans="1:19" ht="22.5">
      <c r="A16" s="32">
        <v>12</v>
      </c>
      <c r="B16" s="105" t="s">
        <v>396</v>
      </c>
      <c r="C16" s="26">
        <v>505</v>
      </c>
      <c r="D16" s="26">
        <v>116</v>
      </c>
      <c r="E16" s="26">
        <v>0</v>
      </c>
      <c r="F16" s="26">
        <v>0</v>
      </c>
      <c r="G16" s="28">
        <f>C16+D16</f>
        <v>621</v>
      </c>
      <c r="H16" s="26">
        <v>0</v>
      </c>
      <c r="I16" s="26">
        <v>10</v>
      </c>
      <c r="J16" s="26">
        <v>0</v>
      </c>
      <c r="K16" s="31">
        <v>10</v>
      </c>
      <c r="L16" s="31">
        <v>10</v>
      </c>
      <c r="M16" s="31">
        <v>5</v>
      </c>
      <c r="N16" s="31">
        <v>0</v>
      </c>
      <c r="O16" s="31">
        <v>0</v>
      </c>
      <c r="P16" s="31">
        <v>0</v>
      </c>
      <c r="Q16" s="31">
        <v>5</v>
      </c>
      <c r="R16" s="31">
        <v>0</v>
      </c>
      <c r="S16" s="30">
        <f>G16+I16+K16+L16+M16+Q16</f>
        <v>661</v>
      </c>
    </row>
    <row r="17" spans="1:19" ht="22.5">
      <c r="A17" s="26">
        <v>13</v>
      </c>
      <c r="B17" s="105" t="s">
        <v>397</v>
      </c>
      <c r="C17" s="26">
        <v>415</v>
      </c>
      <c r="D17" s="26">
        <v>160</v>
      </c>
      <c r="E17" s="26">
        <v>9</v>
      </c>
      <c r="F17" s="26">
        <v>0</v>
      </c>
      <c r="G17" s="28">
        <f>C17+D17+E17</f>
        <v>584</v>
      </c>
      <c r="H17" s="26">
        <v>0</v>
      </c>
      <c r="I17" s="26">
        <v>0</v>
      </c>
      <c r="J17" s="26">
        <v>0</v>
      </c>
      <c r="K17" s="31">
        <v>10</v>
      </c>
      <c r="L17" s="31">
        <v>5</v>
      </c>
      <c r="M17" s="31">
        <v>5</v>
      </c>
      <c r="N17" s="31">
        <v>0</v>
      </c>
      <c r="O17" s="31">
        <v>0</v>
      </c>
      <c r="P17" s="31">
        <v>0</v>
      </c>
      <c r="Q17" s="31">
        <v>5</v>
      </c>
      <c r="R17" s="31">
        <v>0</v>
      </c>
      <c r="S17" s="30">
        <f>G17+K17+L17+M17+Q17</f>
        <v>609</v>
      </c>
    </row>
    <row r="18" spans="1:19" ht="22.5">
      <c r="A18" s="26">
        <v>14</v>
      </c>
      <c r="B18" s="105" t="s">
        <v>398</v>
      </c>
      <c r="C18" s="26">
        <v>435</v>
      </c>
      <c r="D18" s="26">
        <v>156</v>
      </c>
      <c r="E18" s="26">
        <v>0</v>
      </c>
      <c r="F18" s="26">
        <v>0</v>
      </c>
      <c r="G18" s="28">
        <f>C18+D18</f>
        <v>591</v>
      </c>
      <c r="H18" s="26">
        <v>0</v>
      </c>
      <c r="I18" s="26">
        <v>0</v>
      </c>
      <c r="J18" s="26">
        <v>0</v>
      </c>
      <c r="K18" s="31">
        <v>0</v>
      </c>
      <c r="L18" s="31">
        <v>0</v>
      </c>
      <c r="M18" s="31">
        <v>5</v>
      </c>
      <c r="N18" s="31">
        <v>0</v>
      </c>
      <c r="O18" s="31">
        <v>0</v>
      </c>
      <c r="P18" s="31">
        <v>0</v>
      </c>
      <c r="Q18" s="31">
        <v>5</v>
      </c>
      <c r="R18" s="31">
        <v>0</v>
      </c>
      <c r="S18" s="30">
        <f>G18+M18+Q18</f>
        <v>601</v>
      </c>
    </row>
    <row r="19" spans="1:19" ht="22.5">
      <c r="A19" s="26">
        <v>15</v>
      </c>
      <c r="B19" s="105" t="s">
        <v>399</v>
      </c>
      <c r="C19" s="26">
        <v>420</v>
      </c>
      <c r="D19" s="26">
        <v>168</v>
      </c>
      <c r="E19" s="26">
        <v>9</v>
      </c>
      <c r="F19" s="26">
        <v>0</v>
      </c>
      <c r="G19" s="28">
        <f>C19+D19+E19</f>
        <v>597</v>
      </c>
      <c r="H19" s="26">
        <v>0</v>
      </c>
      <c r="I19" s="26">
        <v>0</v>
      </c>
      <c r="J19" s="26">
        <v>0</v>
      </c>
      <c r="K19" s="31">
        <v>10</v>
      </c>
      <c r="L19" s="31">
        <v>0</v>
      </c>
      <c r="M19" s="31">
        <v>5</v>
      </c>
      <c r="N19" s="31">
        <v>0</v>
      </c>
      <c r="O19" s="31">
        <v>0</v>
      </c>
      <c r="P19" s="31">
        <v>0</v>
      </c>
      <c r="Q19" s="31">
        <v>5</v>
      </c>
      <c r="R19" s="31">
        <v>0</v>
      </c>
      <c r="S19" s="30">
        <f>G19+K19+M19+Q19</f>
        <v>617</v>
      </c>
    </row>
    <row r="20" spans="1:19" ht="22.5">
      <c r="A20" s="26">
        <v>16</v>
      </c>
      <c r="B20" s="105" t="s">
        <v>400</v>
      </c>
      <c r="C20" s="26">
        <v>500</v>
      </c>
      <c r="D20" s="26">
        <v>104</v>
      </c>
      <c r="E20" s="26">
        <v>0</v>
      </c>
      <c r="F20" s="26">
        <v>0</v>
      </c>
      <c r="G20" s="28">
        <f>C20+D20</f>
        <v>604</v>
      </c>
      <c r="H20" s="26">
        <v>0</v>
      </c>
      <c r="I20" s="26">
        <v>10</v>
      </c>
      <c r="J20" s="26">
        <v>0</v>
      </c>
      <c r="K20" s="31">
        <v>10</v>
      </c>
      <c r="L20" s="31">
        <v>10</v>
      </c>
      <c r="M20" s="31">
        <v>5</v>
      </c>
      <c r="N20" s="31">
        <v>0</v>
      </c>
      <c r="O20" s="31">
        <v>0</v>
      </c>
      <c r="P20" s="31">
        <v>0</v>
      </c>
      <c r="Q20" s="31">
        <v>5</v>
      </c>
      <c r="R20" s="31">
        <v>0</v>
      </c>
      <c r="S20" s="30">
        <f>G20+I20+K20+L20+M20+Q20</f>
        <v>644</v>
      </c>
    </row>
    <row r="21" spans="1:19" ht="22.5">
      <c r="A21" s="26">
        <v>17</v>
      </c>
      <c r="B21" s="105" t="s">
        <v>401</v>
      </c>
      <c r="C21" s="26">
        <v>500</v>
      </c>
      <c r="D21" s="26">
        <v>136</v>
      </c>
      <c r="E21" s="26">
        <v>0</v>
      </c>
      <c r="F21" s="26">
        <v>0</v>
      </c>
      <c r="G21" s="28">
        <f>C21+D21</f>
        <v>636</v>
      </c>
      <c r="H21" s="26">
        <v>0</v>
      </c>
      <c r="I21" s="26">
        <v>0</v>
      </c>
      <c r="J21" s="26">
        <v>0</v>
      </c>
      <c r="K21" s="31">
        <v>10</v>
      </c>
      <c r="L21" s="31">
        <v>5</v>
      </c>
      <c r="M21" s="31">
        <v>5</v>
      </c>
      <c r="N21" s="31">
        <v>0</v>
      </c>
      <c r="O21" s="31">
        <v>0</v>
      </c>
      <c r="P21" s="31">
        <v>0</v>
      </c>
      <c r="Q21" s="31">
        <v>5</v>
      </c>
      <c r="R21" s="31">
        <v>0</v>
      </c>
      <c r="S21" s="30">
        <f>G21+K21+L21+M21+Q21</f>
        <v>661</v>
      </c>
    </row>
    <row r="22" spans="1:19" ht="22.5">
      <c r="A22" s="26">
        <v>18</v>
      </c>
      <c r="B22" s="105" t="s">
        <v>402</v>
      </c>
      <c r="C22" s="26">
        <v>125</v>
      </c>
      <c r="D22" s="26">
        <v>376</v>
      </c>
      <c r="E22" s="26">
        <v>24</v>
      </c>
      <c r="F22" s="26">
        <v>0</v>
      </c>
      <c r="G22" s="28">
        <f>C22+D22+E22</f>
        <v>525</v>
      </c>
      <c r="H22" s="26">
        <v>-24</v>
      </c>
      <c r="I22" s="26">
        <v>0</v>
      </c>
      <c r="J22" s="26">
        <v>0</v>
      </c>
      <c r="K22" s="31">
        <v>0</v>
      </c>
      <c r="L22" s="31">
        <v>0</v>
      </c>
      <c r="M22" s="31">
        <v>5</v>
      </c>
      <c r="N22" s="31">
        <v>0</v>
      </c>
      <c r="O22" s="31">
        <v>0</v>
      </c>
      <c r="P22" s="31">
        <v>0</v>
      </c>
      <c r="Q22" s="31">
        <v>5</v>
      </c>
      <c r="R22" s="31">
        <v>0</v>
      </c>
      <c r="S22" s="30">
        <f>G22+H22+M22+Q22</f>
        <v>511</v>
      </c>
    </row>
    <row r="23" spans="1:19" ht="22.5">
      <c r="A23" s="26">
        <v>19</v>
      </c>
      <c r="B23" s="105" t="s">
        <v>403</v>
      </c>
      <c r="C23" s="26">
        <v>510</v>
      </c>
      <c r="D23" s="26">
        <v>104</v>
      </c>
      <c r="E23" s="26">
        <v>0</v>
      </c>
      <c r="F23" s="26">
        <v>0</v>
      </c>
      <c r="G23" s="28">
        <f>C23+D23</f>
        <v>614</v>
      </c>
      <c r="H23" s="26">
        <v>-2</v>
      </c>
      <c r="I23" s="26">
        <v>0</v>
      </c>
      <c r="J23" s="26">
        <v>0</v>
      </c>
      <c r="K23" s="31">
        <v>10</v>
      </c>
      <c r="L23" s="31">
        <v>5</v>
      </c>
      <c r="M23" s="31">
        <v>0</v>
      </c>
      <c r="N23" s="31">
        <v>3</v>
      </c>
      <c r="O23" s="31">
        <v>0</v>
      </c>
      <c r="P23" s="31">
        <v>0</v>
      </c>
      <c r="Q23" s="31">
        <v>5</v>
      </c>
      <c r="R23" s="31">
        <v>0</v>
      </c>
      <c r="S23" s="30">
        <f>G23+H23+K23+L23+N23+Q23</f>
        <v>635</v>
      </c>
    </row>
    <row r="24" spans="1:19" ht="33.75">
      <c r="A24" s="26">
        <v>20</v>
      </c>
      <c r="B24" s="105" t="s">
        <v>404</v>
      </c>
      <c r="C24" s="26">
        <v>255</v>
      </c>
      <c r="D24" s="26">
        <v>292</v>
      </c>
      <c r="E24" s="26">
        <v>12</v>
      </c>
      <c r="F24" s="26">
        <v>0</v>
      </c>
      <c r="G24" s="28">
        <f>C24+D24+E24</f>
        <v>559</v>
      </c>
      <c r="H24" s="26">
        <v>-12</v>
      </c>
      <c r="I24" s="26">
        <v>0</v>
      </c>
      <c r="J24" s="26">
        <v>0</v>
      </c>
      <c r="K24" s="31">
        <v>0</v>
      </c>
      <c r="L24" s="31">
        <v>0</v>
      </c>
      <c r="M24" s="31">
        <v>5</v>
      </c>
      <c r="N24" s="31">
        <v>0</v>
      </c>
      <c r="O24" s="31">
        <v>0</v>
      </c>
      <c r="P24" s="31">
        <v>0</v>
      </c>
      <c r="Q24" s="31">
        <v>5</v>
      </c>
      <c r="R24" s="31">
        <v>0</v>
      </c>
      <c r="S24" s="30">
        <f>G24+H24+M24+Q24</f>
        <v>557</v>
      </c>
    </row>
    <row r="25" spans="1:19" ht="22.5">
      <c r="A25" s="26">
        <v>21</v>
      </c>
      <c r="B25" s="105" t="s">
        <v>405</v>
      </c>
      <c r="C25" s="8">
        <v>545</v>
      </c>
      <c r="D25" s="8">
        <v>84</v>
      </c>
      <c r="E25" s="26">
        <v>0</v>
      </c>
      <c r="F25" s="26">
        <v>0</v>
      </c>
      <c r="G25" s="28">
        <f>C25+D25</f>
        <v>629</v>
      </c>
      <c r="H25" s="26">
        <v>0</v>
      </c>
      <c r="I25" s="26">
        <v>0</v>
      </c>
      <c r="J25" s="26">
        <v>0</v>
      </c>
      <c r="K25" s="31">
        <v>10</v>
      </c>
      <c r="L25" s="31">
        <v>5</v>
      </c>
      <c r="M25" s="31">
        <v>5</v>
      </c>
      <c r="N25" s="31">
        <v>3</v>
      </c>
      <c r="O25" s="31">
        <v>0</v>
      </c>
      <c r="P25" s="31">
        <v>0</v>
      </c>
      <c r="Q25" s="31">
        <v>5</v>
      </c>
      <c r="R25" s="31">
        <v>2</v>
      </c>
      <c r="S25" s="30">
        <f>G25+K25+L25+M25+N25+Q25</f>
        <v>657</v>
      </c>
    </row>
    <row r="26" spans="1:19" ht="22.5">
      <c r="A26" s="26">
        <v>22</v>
      </c>
      <c r="B26" s="105" t="s">
        <v>406</v>
      </c>
      <c r="C26" s="31">
        <v>160</v>
      </c>
      <c r="D26" s="31">
        <v>312</v>
      </c>
      <c r="E26" s="31">
        <v>24</v>
      </c>
      <c r="F26" s="31">
        <v>0</v>
      </c>
      <c r="G26" s="28">
        <f>C26+D26+E26</f>
        <v>496</v>
      </c>
      <c r="H26" s="31">
        <v>-6</v>
      </c>
      <c r="I26" s="31">
        <v>0</v>
      </c>
      <c r="J26" s="26">
        <v>0</v>
      </c>
      <c r="K26" s="31">
        <v>0</v>
      </c>
      <c r="L26" s="31">
        <v>5</v>
      </c>
      <c r="M26" s="26">
        <v>5</v>
      </c>
      <c r="N26" s="26">
        <v>0</v>
      </c>
      <c r="O26" s="31">
        <v>0</v>
      </c>
      <c r="P26" s="31">
        <v>0</v>
      </c>
      <c r="Q26" s="31">
        <v>5</v>
      </c>
      <c r="R26" s="31">
        <v>0</v>
      </c>
      <c r="S26" s="30">
        <f>G26+H26+L26+M26+Q26</f>
        <v>505</v>
      </c>
    </row>
    <row r="27" spans="1:19" ht="22.5">
      <c r="A27" s="26">
        <v>23</v>
      </c>
      <c r="B27" s="105" t="s">
        <v>407</v>
      </c>
      <c r="C27" s="31">
        <v>335</v>
      </c>
      <c r="D27" s="31">
        <v>168</v>
      </c>
      <c r="E27" s="31">
        <v>3</v>
      </c>
      <c r="F27" s="31">
        <v>0</v>
      </c>
      <c r="G27" s="28">
        <f>C27+D27+E27</f>
        <v>506</v>
      </c>
      <c r="H27" s="31">
        <v>0</v>
      </c>
      <c r="I27" s="31">
        <v>0</v>
      </c>
      <c r="J27" s="31">
        <v>0</v>
      </c>
      <c r="K27" s="31">
        <v>0</v>
      </c>
      <c r="L27" s="31">
        <v>5</v>
      </c>
      <c r="M27" s="31">
        <v>5</v>
      </c>
      <c r="N27" s="31">
        <v>0</v>
      </c>
      <c r="O27" s="31">
        <v>0</v>
      </c>
      <c r="P27" s="31">
        <v>0</v>
      </c>
      <c r="Q27" s="31">
        <v>5</v>
      </c>
      <c r="R27" s="31">
        <v>0</v>
      </c>
      <c r="S27" s="30">
        <f>G27+L27+M27+Q27</f>
        <v>521</v>
      </c>
    </row>
    <row r="28" spans="1:19" ht="22.5">
      <c r="A28" s="26">
        <v>24</v>
      </c>
      <c r="B28" s="105" t="s">
        <v>408</v>
      </c>
      <c r="C28" s="31">
        <v>345</v>
      </c>
      <c r="D28" s="31">
        <v>164</v>
      </c>
      <c r="E28" s="31">
        <v>0</v>
      </c>
      <c r="F28" s="31">
        <v>0</v>
      </c>
      <c r="G28" s="28">
        <f>C28+D28</f>
        <v>509</v>
      </c>
      <c r="H28" s="31">
        <v>0</v>
      </c>
      <c r="I28" s="31">
        <v>0</v>
      </c>
      <c r="J28" s="31">
        <v>0</v>
      </c>
      <c r="K28" s="31">
        <v>0</v>
      </c>
      <c r="L28" s="31">
        <v>5</v>
      </c>
      <c r="M28" s="31">
        <v>5</v>
      </c>
      <c r="N28" s="31">
        <v>0</v>
      </c>
      <c r="O28" s="31">
        <v>0</v>
      </c>
      <c r="P28" s="31">
        <v>0</v>
      </c>
      <c r="Q28" s="31">
        <v>5</v>
      </c>
      <c r="R28" s="31">
        <v>0</v>
      </c>
      <c r="S28" s="30">
        <f>G28+L28+M28+Q28</f>
        <v>524</v>
      </c>
    </row>
    <row r="29" spans="1:19" ht="33.75">
      <c r="A29" s="26">
        <v>25</v>
      </c>
      <c r="B29" s="105" t="s">
        <v>409</v>
      </c>
      <c r="C29" s="31">
        <v>395</v>
      </c>
      <c r="D29" s="31">
        <v>164</v>
      </c>
      <c r="E29" s="31">
        <v>0</v>
      </c>
      <c r="F29" s="31">
        <v>0</v>
      </c>
      <c r="G29" s="28">
        <f>C29+D29</f>
        <v>559</v>
      </c>
      <c r="H29" s="31">
        <v>0</v>
      </c>
      <c r="I29" s="31">
        <v>0</v>
      </c>
      <c r="J29" s="31">
        <v>0</v>
      </c>
      <c r="K29" s="31">
        <v>10</v>
      </c>
      <c r="L29" s="31">
        <v>5</v>
      </c>
      <c r="M29" s="31">
        <v>5</v>
      </c>
      <c r="N29" s="31">
        <v>0</v>
      </c>
      <c r="O29" s="31">
        <v>0</v>
      </c>
      <c r="P29" s="31">
        <v>0</v>
      </c>
      <c r="Q29" s="31">
        <v>5</v>
      </c>
      <c r="R29" s="31">
        <v>0</v>
      </c>
      <c r="S29" s="30">
        <f>G29+K29+L29+M29+Q29</f>
        <v>584</v>
      </c>
    </row>
    <row r="30" spans="1:19" ht="22.5">
      <c r="A30" s="26">
        <v>26</v>
      </c>
      <c r="B30" s="105" t="s">
        <v>410</v>
      </c>
      <c r="C30" s="31">
        <v>125</v>
      </c>
      <c r="D30" s="31">
        <v>376</v>
      </c>
      <c r="E30" s="31">
        <v>24</v>
      </c>
      <c r="F30" s="31">
        <v>0</v>
      </c>
      <c r="G30" s="28">
        <v>525</v>
      </c>
      <c r="H30" s="31">
        <v>-44</v>
      </c>
      <c r="I30" s="31">
        <v>0</v>
      </c>
      <c r="J30" s="31">
        <v>0</v>
      </c>
      <c r="K30" s="31">
        <v>0</v>
      </c>
      <c r="L30" s="31">
        <v>0</v>
      </c>
      <c r="M30" s="31">
        <v>5</v>
      </c>
      <c r="N30" s="31">
        <v>0</v>
      </c>
      <c r="O30" s="31">
        <v>0</v>
      </c>
      <c r="P30" s="31">
        <v>0</v>
      </c>
      <c r="Q30" s="31">
        <v>5</v>
      </c>
      <c r="R30" s="31">
        <v>0</v>
      </c>
      <c r="S30" s="30">
        <v>511</v>
      </c>
    </row>
    <row r="31" spans="1:19" ht="22.5">
      <c r="A31" s="26">
        <v>27</v>
      </c>
      <c r="B31" s="105" t="s">
        <v>411</v>
      </c>
      <c r="C31" s="31">
        <v>325</v>
      </c>
      <c r="D31" s="31">
        <v>136</v>
      </c>
      <c r="E31" s="31">
        <v>3</v>
      </c>
      <c r="F31" s="31">
        <v>0</v>
      </c>
      <c r="G31" s="28">
        <f>C31+D31+E31</f>
        <v>464</v>
      </c>
      <c r="H31" s="31">
        <v>0</v>
      </c>
      <c r="I31" s="31">
        <v>0</v>
      </c>
      <c r="J31" s="31">
        <v>0</v>
      </c>
      <c r="K31" s="31">
        <v>10</v>
      </c>
      <c r="L31" s="31">
        <v>5</v>
      </c>
      <c r="M31" s="31">
        <v>5</v>
      </c>
      <c r="N31" s="31">
        <v>0</v>
      </c>
      <c r="O31" s="31">
        <v>0</v>
      </c>
      <c r="P31" s="31">
        <v>0</v>
      </c>
      <c r="Q31" s="31">
        <v>5</v>
      </c>
      <c r="R31" s="31">
        <v>0</v>
      </c>
      <c r="S31" s="30">
        <f>G31+K31+L31+M31+Q31</f>
        <v>489</v>
      </c>
    </row>
    <row r="32" spans="1:19" ht="22.5">
      <c r="A32" s="26">
        <v>28</v>
      </c>
      <c r="B32" s="105" t="s">
        <v>412</v>
      </c>
      <c r="C32" s="31">
        <v>465</v>
      </c>
      <c r="D32" s="31">
        <v>136</v>
      </c>
      <c r="E32" s="31">
        <v>3</v>
      </c>
      <c r="F32" s="31">
        <v>0</v>
      </c>
      <c r="G32" s="28">
        <f>C32+D32+E32</f>
        <v>604</v>
      </c>
      <c r="H32" s="31">
        <v>-4</v>
      </c>
      <c r="I32" s="31">
        <v>0</v>
      </c>
      <c r="J32" s="31">
        <v>0</v>
      </c>
      <c r="K32" s="31">
        <v>10</v>
      </c>
      <c r="L32" s="31">
        <v>0</v>
      </c>
      <c r="M32" s="31">
        <v>5</v>
      </c>
      <c r="N32" s="31">
        <v>0</v>
      </c>
      <c r="O32" s="31">
        <v>0</v>
      </c>
      <c r="P32" s="31">
        <v>0</v>
      </c>
      <c r="Q32" s="31">
        <v>5</v>
      </c>
      <c r="R32" s="31">
        <v>0</v>
      </c>
      <c r="S32" s="30">
        <f>H32+K32+M32+G32+Q32</f>
        <v>620</v>
      </c>
    </row>
    <row r="33" spans="1:19" ht="33.75">
      <c r="A33" s="26">
        <v>29</v>
      </c>
      <c r="B33" s="108" t="s">
        <v>413</v>
      </c>
      <c r="C33" s="31">
        <v>395</v>
      </c>
      <c r="D33" s="31">
        <v>156</v>
      </c>
      <c r="E33" s="31">
        <v>0</v>
      </c>
      <c r="F33" s="31">
        <v>0</v>
      </c>
      <c r="G33" s="28">
        <f>C33+D33</f>
        <v>551</v>
      </c>
      <c r="H33" s="31">
        <v>-2</v>
      </c>
      <c r="I33" s="31">
        <v>0</v>
      </c>
      <c r="J33" s="31">
        <v>0</v>
      </c>
      <c r="K33" s="31">
        <v>0</v>
      </c>
      <c r="L33" s="31">
        <v>5</v>
      </c>
      <c r="M33" s="31">
        <v>5</v>
      </c>
      <c r="N33" s="31">
        <v>0</v>
      </c>
      <c r="O33" s="31">
        <v>0</v>
      </c>
      <c r="P33" s="31">
        <v>0</v>
      </c>
      <c r="Q33" s="31">
        <v>5</v>
      </c>
      <c r="R33" s="31">
        <v>0</v>
      </c>
      <c r="S33" s="30">
        <f>G33+H33+L33+M33+Q33</f>
        <v>564</v>
      </c>
    </row>
    <row r="34" spans="1:18" ht="15">
      <c r="A34" s="27"/>
      <c r="B34" s="8"/>
      <c r="C34" s="8"/>
      <c r="D34" s="26"/>
      <c r="E34" s="26"/>
      <c r="F34" s="28"/>
      <c r="G34" s="74"/>
      <c r="H34" s="55" t="s">
        <v>20</v>
      </c>
      <c r="I34" s="55"/>
      <c r="J34" s="55"/>
      <c r="K34" s="55" t="s">
        <v>414</v>
      </c>
      <c r="L34" s="55"/>
      <c r="M34" s="29"/>
      <c r="N34" s="31"/>
      <c r="O34" s="31"/>
      <c r="P34" s="29"/>
      <c r="Q34" s="31"/>
      <c r="R34" s="30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N13" sqref="N13"/>
    </sheetView>
  </sheetViews>
  <sheetFormatPr defaultColWidth="9.140625" defaultRowHeight="15"/>
  <sheetData>
    <row r="1" spans="1:19" ht="18.75">
      <c r="A1" s="303" t="s">
        <v>415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23085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6" t="s">
        <v>416</v>
      </c>
      <c r="C5" s="26">
        <v>290</v>
      </c>
      <c r="D5" s="26">
        <v>388</v>
      </c>
      <c r="E5" s="26">
        <v>18</v>
      </c>
      <c r="F5" s="26"/>
      <c r="G5" s="28">
        <v>696</v>
      </c>
      <c r="H5" s="26">
        <v>-6</v>
      </c>
      <c r="I5" s="26"/>
      <c r="J5" s="26"/>
      <c r="K5" s="29"/>
      <c r="L5" s="29"/>
      <c r="M5" s="29"/>
      <c r="N5" s="29"/>
      <c r="O5" s="29">
        <v>5</v>
      </c>
      <c r="P5" s="29"/>
      <c r="Q5" s="29"/>
      <c r="R5" s="29"/>
      <c r="S5" s="30">
        <v>695</v>
      </c>
    </row>
    <row r="6" spans="1:19" ht="15">
      <c r="A6" s="26">
        <v>2</v>
      </c>
      <c r="B6" s="26" t="s">
        <v>417</v>
      </c>
      <c r="C6" s="26">
        <v>315</v>
      </c>
      <c r="D6" s="26">
        <v>352</v>
      </c>
      <c r="E6" s="26">
        <v>24</v>
      </c>
      <c r="F6" s="26">
        <v>-2</v>
      </c>
      <c r="G6" s="28">
        <v>689</v>
      </c>
      <c r="H6" s="26">
        <v>-2</v>
      </c>
      <c r="I6" s="26"/>
      <c r="J6" s="26"/>
      <c r="K6" s="31"/>
      <c r="L6" s="31"/>
      <c r="M6" s="29"/>
      <c r="N6" s="29"/>
      <c r="O6" s="31">
        <v>5</v>
      </c>
      <c r="P6" s="31"/>
      <c r="Q6" s="29"/>
      <c r="R6" s="31"/>
      <c r="S6" s="30">
        <v>692</v>
      </c>
    </row>
    <row r="7" spans="1:19" ht="15">
      <c r="A7" s="26">
        <v>3</v>
      </c>
      <c r="B7" s="26" t="s">
        <v>418</v>
      </c>
      <c r="C7" s="26">
        <v>310</v>
      </c>
      <c r="D7" s="26">
        <v>332</v>
      </c>
      <c r="E7" s="26">
        <v>30</v>
      </c>
      <c r="F7" s="26"/>
      <c r="G7" s="28">
        <v>672</v>
      </c>
      <c r="H7" s="26"/>
      <c r="I7" s="26"/>
      <c r="J7" s="26"/>
      <c r="K7" s="31"/>
      <c r="L7" s="31"/>
      <c r="M7" s="29"/>
      <c r="N7" s="29"/>
      <c r="O7" s="31">
        <v>5</v>
      </c>
      <c r="P7" s="31"/>
      <c r="Q7" s="29"/>
      <c r="R7" s="31"/>
      <c r="S7" s="30">
        <v>677</v>
      </c>
    </row>
    <row r="8" spans="1:19" ht="15">
      <c r="A8" s="26">
        <v>4</v>
      </c>
      <c r="B8" s="26" t="s">
        <v>419</v>
      </c>
      <c r="C8" s="26">
        <v>355</v>
      </c>
      <c r="D8" s="26">
        <v>316</v>
      </c>
      <c r="E8" s="26">
        <v>12</v>
      </c>
      <c r="F8" s="26"/>
      <c r="G8" s="28">
        <v>683</v>
      </c>
      <c r="H8" s="26">
        <v>-2</v>
      </c>
      <c r="I8" s="26"/>
      <c r="J8" s="26"/>
      <c r="K8" s="31"/>
      <c r="L8" s="31"/>
      <c r="M8" s="29"/>
      <c r="N8" s="29"/>
      <c r="O8" s="31">
        <v>5</v>
      </c>
      <c r="P8" s="31"/>
      <c r="Q8" s="29"/>
      <c r="R8" s="31"/>
      <c r="S8" s="30">
        <v>686</v>
      </c>
    </row>
    <row r="9" spans="1:19" ht="15">
      <c r="A9" s="26">
        <v>5</v>
      </c>
      <c r="B9" s="26" t="s">
        <v>420</v>
      </c>
      <c r="C9" s="26">
        <v>670</v>
      </c>
      <c r="D9" s="26">
        <v>172</v>
      </c>
      <c r="E9" s="26">
        <v>6</v>
      </c>
      <c r="F9" s="26"/>
      <c r="G9" s="28">
        <v>848</v>
      </c>
      <c r="H9" s="26"/>
      <c r="I9" s="26"/>
      <c r="J9" s="26"/>
      <c r="K9" s="31"/>
      <c r="L9" s="31"/>
      <c r="M9" s="29"/>
      <c r="N9" s="29"/>
      <c r="O9" s="31">
        <v>5</v>
      </c>
      <c r="P9" s="31"/>
      <c r="Q9" s="29"/>
      <c r="R9" s="31"/>
      <c r="S9" s="30">
        <v>853</v>
      </c>
    </row>
    <row r="10" spans="1:19" ht="15">
      <c r="A10" s="26">
        <v>6</v>
      </c>
      <c r="B10" s="26" t="s">
        <v>421</v>
      </c>
      <c r="C10" s="26">
        <v>475</v>
      </c>
      <c r="D10" s="26">
        <v>240</v>
      </c>
      <c r="E10" s="26">
        <v>9</v>
      </c>
      <c r="F10" s="26">
        <v>-2</v>
      </c>
      <c r="G10" s="28">
        <v>719</v>
      </c>
      <c r="H10" s="26">
        <v>-4</v>
      </c>
      <c r="I10" s="26"/>
      <c r="J10" s="26"/>
      <c r="K10" s="31"/>
      <c r="L10" s="31"/>
      <c r="M10" s="29"/>
      <c r="N10" s="29"/>
      <c r="O10" s="31">
        <v>5</v>
      </c>
      <c r="P10" s="31"/>
      <c r="Q10" s="29"/>
      <c r="R10" s="31"/>
      <c r="S10" s="30">
        <v>720</v>
      </c>
    </row>
    <row r="11" spans="1:19" ht="15">
      <c r="A11" s="26">
        <v>7</v>
      </c>
      <c r="B11" s="26" t="s">
        <v>422</v>
      </c>
      <c r="C11" s="26">
        <v>435</v>
      </c>
      <c r="D11" s="26">
        <v>276</v>
      </c>
      <c r="E11" s="26">
        <v>3</v>
      </c>
      <c r="F11" s="26"/>
      <c r="G11" s="28">
        <v>714</v>
      </c>
      <c r="H11" s="26"/>
      <c r="I11" s="26"/>
      <c r="J11" s="26"/>
      <c r="K11" s="31"/>
      <c r="L11" s="31"/>
      <c r="M11" s="29"/>
      <c r="N11" s="29"/>
      <c r="O11" s="31">
        <v>5</v>
      </c>
      <c r="P11" s="31"/>
      <c r="Q11" s="29"/>
      <c r="R11" s="31"/>
      <c r="S11" s="30">
        <v>719</v>
      </c>
    </row>
    <row r="12" spans="1:19" ht="15">
      <c r="A12" s="26">
        <v>8</v>
      </c>
      <c r="B12" s="26" t="s">
        <v>423</v>
      </c>
      <c r="C12" s="26">
        <v>575</v>
      </c>
      <c r="D12" s="26">
        <v>248</v>
      </c>
      <c r="E12" s="26">
        <v>12</v>
      </c>
      <c r="F12" s="26"/>
      <c r="G12" s="28">
        <v>835</v>
      </c>
      <c r="H12" s="26"/>
      <c r="I12" s="26"/>
      <c r="J12" s="26"/>
      <c r="K12" s="31"/>
      <c r="L12" s="31"/>
      <c r="M12" s="29"/>
      <c r="N12" s="29">
        <v>5</v>
      </c>
      <c r="O12" s="31">
        <v>5</v>
      </c>
      <c r="P12" s="31"/>
      <c r="Q12" s="29"/>
      <c r="R12" s="31"/>
      <c r="S12" s="30">
        <v>845</v>
      </c>
    </row>
    <row r="13" spans="1:19" ht="15">
      <c r="A13" s="32">
        <v>9</v>
      </c>
      <c r="B13" s="109" t="s">
        <v>424</v>
      </c>
      <c r="C13" s="26">
        <v>735</v>
      </c>
      <c r="D13" s="26">
        <v>128</v>
      </c>
      <c r="E13" s="26"/>
      <c r="F13" s="32"/>
      <c r="G13" s="28">
        <v>863</v>
      </c>
      <c r="H13" s="32"/>
      <c r="I13" s="32"/>
      <c r="J13" s="32"/>
      <c r="K13" s="34"/>
      <c r="L13" s="34"/>
      <c r="M13" s="32"/>
      <c r="N13" s="32"/>
      <c r="O13" s="34">
        <v>5</v>
      </c>
      <c r="P13" s="34"/>
      <c r="Q13" s="32"/>
      <c r="R13" s="34"/>
      <c r="S13" s="30">
        <v>868</v>
      </c>
    </row>
    <row r="14" spans="1:19" ht="15">
      <c r="A14" s="32">
        <v>10</v>
      </c>
      <c r="B14" s="26" t="s">
        <v>425</v>
      </c>
      <c r="C14" s="26">
        <v>455</v>
      </c>
      <c r="D14" s="26">
        <v>260</v>
      </c>
      <c r="E14" s="26">
        <v>9</v>
      </c>
      <c r="F14" s="32"/>
      <c r="G14" s="28">
        <v>724</v>
      </c>
      <c r="H14" s="32">
        <v>-2</v>
      </c>
      <c r="I14" s="32"/>
      <c r="J14" s="32"/>
      <c r="K14" s="34"/>
      <c r="L14" s="34"/>
      <c r="M14" s="32"/>
      <c r="N14" s="32"/>
      <c r="O14" s="34">
        <v>5</v>
      </c>
      <c r="P14" s="34"/>
      <c r="Q14" s="32"/>
      <c r="R14" s="34"/>
      <c r="S14" s="30">
        <v>727</v>
      </c>
    </row>
    <row r="15" spans="1:19" ht="15">
      <c r="A15" s="26">
        <v>11</v>
      </c>
      <c r="B15" s="26" t="s">
        <v>226</v>
      </c>
      <c r="C15" s="26">
        <v>405</v>
      </c>
      <c r="D15" s="26">
        <v>268</v>
      </c>
      <c r="E15" s="26">
        <v>6</v>
      </c>
      <c r="F15" s="26"/>
      <c r="G15" s="28">
        <v>679</v>
      </c>
      <c r="H15" s="26"/>
      <c r="I15" s="26"/>
      <c r="J15" s="26"/>
      <c r="K15" s="31"/>
      <c r="L15" s="31"/>
      <c r="M15" s="29"/>
      <c r="N15" s="29"/>
      <c r="O15" s="31">
        <v>5</v>
      </c>
      <c r="P15" s="31"/>
      <c r="Q15" s="29"/>
      <c r="R15" s="31"/>
      <c r="S15" s="30">
        <v>684</v>
      </c>
    </row>
    <row r="16" spans="1:19" ht="15">
      <c r="A16" s="32">
        <v>12</v>
      </c>
      <c r="B16" s="26" t="s">
        <v>426</v>
      </c>
      <c r="C16" s="26">
        <v>350</v>
      </c>
      <c r="D16" s="26">
        <v>352</v>
      </c>
      <c r="E16" s="26">
        <v>6</v>
      </c>
      <c r="F16" s="32"/>
      <c r="G16" s="28">
        <v>708</v>
      </c>
      <c r="H16" s="32">
        <v>-2</v>
      </c>
      <c r="I16" s="32"/>
      <c r="J16" s="32"/>
      <c r="K16" s="34"/>
      <c r="L16" s="34"/>
      <c r="M16" s="32"/>
      <c r="N16" s="32"/>
      <c r="O16" s="34">
        <v>5</v>
      </c>
      <c r="P16" s="34"/>
      <c r="Q16" s="32"/>
      <c r="R16" s="34"/>
      <c r="S16" s="30">
        <v>711</v>
      </c>
    </row>
    <row r="17" spans="1:19" ht="15">
      <c r="A17" s="26">
        <v>13</v>
      </c>
      <c r="B17" s="26" t="s">
        <v>427</v>
      </c>
      <c r="C17" s="26">
        <v>410</v>
      </c>
      <c r="D17" s="26">
        <v>364</v>
      </c>
      <c r="E17" s="26">
        <v>3</v>
      </c>
      <c r="F17" s="26"/>
      <c r="G17" s="28">
        <v>777</v>
      </c>
      <c r="H17" s="26">
        <v>-2</v>
      </c>
      <c r="I17" s="26"/>
      <c r="J17" s="26"/>
      <c r="K17" s="31"/>
      <c r="L17" s="31"/>
      <c r="M17" s="29"/>
      <c r="N17" s="29"/>
      <c r="O17" s="31">
        <v>5</v>
      </c>
      <c r="P17" s="31"/>
      <c r="Q17" s="29"/>
      <c r="R17" s="31"/>
      <c r="S17" s="30">
        <v>774</v>
      </c>
    </row>
    <row r="18" spans="1:19" ht="15">
      <c r="A18" s="26">
        <v>14</v>
      </c>
      <c r="B18" s="26" t="s">
        <v>428</v>
      </c>
      <c r="C18" s="26">
        <v>735</v>
      </c>
      <c r="D18" s="26">
        <v>100</v>
      </c>
      <c r="E18" s="26"/>
      <c r="F18" s="26"/>
      <c r="G18" s="28">
        <v>835</v>
      </c>
      <c r="H18" s="26">
        <v>-2</v>
      </c>
      <c r="I18" s="26"/>
      <c r="J18" s="26"/>
      <c r="K18" s="31"/>
      <c r="L18" s="31"/>
      <c r="M18" s="29"/>
      <c r="N18" s="29"/>
      <c r="O18" s="31">
        <v>5</v>
      </c>
      <c r="P18" s="31"/>
      <c r="Q18" s="29"/>
      <c r="R18" s="31"/>
      <c r="S18" s="30">
        <v>848</v>
      </c>
    </row>
    <row r="19" spans="1:19" ht="15">
      <c r="A19" s="26">
        <v>15</v>
      </c>
      <c r="B19" s="26" t="s">
        <v>429</v>
      </c>
      <c r="C19" s="26">
        <v>290</v>
      </c>
      <c r="D19" s="26">
        <v>364</v>
      </c>
      <c r="E19" s="26">
        <v>21</v>
      </c>
      <c r="F19" s="26"/>
      <c r="G19" s="28">
        <v>675</v>
      </c>
      <c r="H19" s="26">
        <v>-10</v>
      </c>
      <c r="I19" s="26"/>
      <c r="J19" s="26"/>
      <c r="K19" s="31"/>
      <c r="L19" s="31"/>
      <c r="M19" s="29"/>
      <c r="N19" s="29"/>
      <c r="O19" s="31">
        <v>5</v>
      </c>
      <c r="P19" s="31"/>
      <c r="Q19" s="29"/>
      <c r="R19" s="31"/>
      <c r="S19" s="30">
        <v>670</v>
      </c>
    </row>
    <row r="20" spans="1:19" ht="15">
      <c r="A20" s="26">
        <v>16</v>
      </c>
      <c r="B20" s="26" t="s">
        <v>430</v>
      </c>
      <c r="C20" s="26">
        <v>510</v>
      </c>
      <c r="D20" s="26">
        <v>200</v>
      </c>
      <c r="E20" s="26">
        <v>3</v>
      </c>
      <c r="F20" s="26"/>
      <c r="G20" s="28">
        <v>713</v>
      </c>
      <c r="H20" s="26">
        <v>-2</v>
      </c>
      <c r="I20" s="26"/>
      <c r="J20" s="26"/>
      <c r="K20" s="31"/>
      <c r="L20" s="31"/>
      <c r="M20" s="29"/>
      <c r="N20" s="29"/>
      <c r="O20" s="31">
        <v>5</v>
      </c>
      <c r="P20" s="31"/>
      <c r="Q20" s="29"/>
      <c r="R20" s="31"/>
      <c r="S20" s="30">
        <v>716</v>
      </c>
    </row>
    <row r="21" spans="1:19" ht="15">
      <c r="A21" s="26">
        <v>17</v>
      </c>
      <c r="B21" s="26" t="s">
        <v>431</v>
      </c>
      <c r="C21" s="26">
        <v>370</v>
      </c>
      <c r="D21" s="26">
        <v>316</v>
      </c>
      <c r="E21" s="26">
        <v>12</v>
      </c>
      <c r="F21" s="26"/>
      <c r="G21" s="28">
        <v>698</v>
      </c>
      <c r="H21" s="26">
        <v>-10</v>
      </c>
      <c r="I21" s="26"/>
      <c r="J21" s="26"/>
      <c r="K21" s="31"/>
      <c r="L21" s="31"/>
      <c r="M21" s="29"/>
      <c r="N21" s="29"/>
      <c r="O21" s="31">
        <v>5</v>
      </c>
      <c r="P21" s="31"/>
      <c r="Q21" s="29"/>
      <c r="R21" s="31"/>
      <c r="S21" s="30">
        <v>693</v>
      </c>
    </row>
    <row r="22" spans="1:19" ht="15">
      <c r="A22" s="26">
        <v>18</v>
      </c>
      <c r="B22" s="26" t="s">
        <v>432</v>
      </c>
      <c r="C22" s="26">
        <v>740</v>
      </c>
      <c r="D22" s="26">
        <v>117</v>
      </c>
      <c r="E22" s="26">
        <v>3</v>
      </c>
      <c r="F22" s="26"/>
      <c r="G22" s="28">
        <v>860</v>
      </c>
      <c r="H22" s="26"/>
      <c r="I22" s="26"/>
      <c r="J22" s="26"/>
      <c r="K22" s="31"/>
      <c r="L22" s="31"/>
      <c r="M22" s="29"/>
      <c r="N22" s="29"/>
      <c r="O22" s="31">
        <v>5</v>
      </c>
      <c r="P22" s="31"/>
      <c r="Q22" s="29"/>
      <c r="R22" s="31"/>
      <c r="S22" s="30">
        <v>865</v>
      </c>
    </row>
    <row r="23" spans="1:19" ht="15">
      <c r="A23" s="26">
        <v>19</v>
      </c>
      <c r="B23" s="26" t="s">
        <v>433</v>
      </c>
      <c r="C23" s="26">
        <v>595</v>
      </c>
      <c r="D23" s="26">
        <v>228</v>
      </c>
      <c r="E23" s="26">
        <v>3</v>
      </c>
      <c r="F23" s="26"/>
      <c r="G23" s="28">
        <v>826</v>
      </c>
      <c r="H23" s="26">
        <v>-2</v>
      </c>
      <c r="I23" s="26"/>
      <c r="J23" s="26"/>
      <c r="K23" s="31"/>
      <c r="L23" s="31"/>
      <c r="M23" s="29"/>
      <c r="N23" s="29"/>
      <c r="O23" s="31">
        <v>5</v>
      </c>
      <c r="P23" s="31"/>
      <c r="Q23" s="29"/>
      <c r="R23" s="31"/>
      <c r="S23" s="30">
        <v>829</v>
      </c>
    </row>
    <row r="24" spans="1:19" ht="15">
      <c r="A24" s="26">
        <v>20</v>
      </c>
      <c r="B24" s="26" t="s">
        <v>434</v>
      </c>
      <c r="C24" s="26">
        <v>695</v>
      </c>
      <c r="D24" s="26">
        <v>152</v>
      </c>
      <c r="E24" s="26"/>
      <c r="F24" s="26"/>
      <c r="G24" s="28">
        <v>847</v>
      </c>
      <c r="H24" s="26">
        <v>-12</v>
      </c>
      <c r="I24" s="26"/>
      <c r="J24" s="26"/>
      <c r="K24" s="31"/>
      <c r="L24" s="31"/>
      <c r="M24" s="29"/>
      <c r="N24" s="29"/>
      <c r="O24" s="31">
        <v>5</v>
      </c>
      <c r="P24" s="31"/>
      <c r="Q24" s="29"/>
      <c r="R24" s="31"/>
      <c r="S24" s="30">
        <v>840</v>
      </c>
    </row>
    <row r="25" spans="1:19" ht="15">
      <c r="A25" s="26">
        <v>21</v>
      </c>
      <c r="B25" s="26" t="s">
        <v>435</v>
      </c>
      <c r="C25" s="8">
        <v>395</v>
      </c>
      <c r="D25" s="8">
        <v>352</v>
      </c>
      <c r="E25" s="26">
        <v>6</v>
      </c>
      <c r="F25" s="26"/>
      <c r="G25" s="28">
        <v>753</v>
      </c>
      <c r="H25" s="26">
        <v>-2</v>
      </c>
      <c r="I25" s="26"/>
      <c r="J25" s="26"/>
      <c r="K25" s="31"/>
      <c r="L25" s="31"/>
      <c r="M25" s="29"/>
      <c r="N25" s="29"/>
      <c r="O25" s="31">
        <v>5</v>
      </c>
      <c r="P25" s="31"/>
      <c r="Q25" s="29"/>
      <c r="R25" s="31"/>
      <c r="S25" s="30">
        <v>756</v>
      </c>
    </row>
    <row r="26" spans="1:19" ht="15">
      <c r="A26" s="26">
        <v>22</v>
      </c>
      <c r="B26" s="26" t="s">
        <v>436</v>
      </c>
      <c r="C26" s="8">
        <v>300</v>
      </c>
      <c r="D26" s="8">
        <v>380</v>
      </c>
      <c r="E26" s="26">
        <v>15</v>
      </c>
      <c r="F26" s="26"/>
      <c r="G26" s="28">
        <v>695</v>
      </c>
      <c r="H26" s="26">
        <v>-6</v>
      </c>
      <c r="I26" s="26"/>
      <c r="J26" s="26"/>
      <c r="K26" s="31"/>
      <c r="L26" s="31"/>
      <c r="M26" s="29"/>
      <c r="N26" s="29"/>
      <c r="O26" s="31">
        <v>5</v>
      </c>
      <c r="P26" s="31"/>
      <c r="Q26" s="29"/>
      <c r="R26" s="31"/>
      <c r="S26" s="30">
        <v>694</v>
      </c>
    </row>
    <row r="27" spans="1:19" ht="15">
      <c r="A27" s="26">
        <v>23</v>
      </c>
      <c r="B27" s="26" t="s">
        <v>437</v>
      </c>
      <c r="C27" s="8">
        <v>370</v>
      </c>
      <c r="D27" s="8">
        <v>332</v>
      </c>
      <c r="E27" s="26">
        <v>3</v>
      </c>
      <c r="F27" s="26"/>
      <c r="G27" s="28">
        <v>805</v>
      </c>
      <c r="H27" s="26">
        <v>-2</v>
      </c>
      <c r="I27" s="26"/>
      <c r="J27" s="26"/>
      <c r="K27" s="31"/>
      <c r="L27" s="31"/>
      <c r="M27" s="29"/>
      <c r="N27" s="29"/>
      <c r="O27" s="31">
        <v>5</v>
      </c>
      <c r="P27" s="31"/>
      <c r="Q27" s="29"/>
      <c r="R27" s="31"/>
      <c r="S27" s="30">
        <v>808</v>
      </c>
    </row>
    <row r="28" spans="1:19" ht="15">
      <c r="A28" s="26">
        <v>24</v>
      </c>
      <c r="B28" s="26" t="s">
        <v>438</v>
      </c>
      <c r="C28" s="8">
        <v>555</v>
      </c>
      <c r="D28" s="8">
        <v>160</v>
      </c>
      <c r="E28" s="26">
        <v>9</v>
      </c>
      <c r="F28" s="26"/>
      <c r="G28" s="28">
        <v>724</v>
      </c>
      <c r="H28" s="26">
        <v>-2</v>
      </c>
      <c r="I28" s="26"/>
      <c r="J28" s="26"/>
      <c r="K28" s="31"/>
      <c r="L28" s="31"/>
      <c r="M28" s="29"/>
      <c r="N28" s="29">
        <v>5</v>
      </c>
      <c r="O28" s="31">
        <v>5</v>
      </c>
      <c r="P28" s="31"/>
      <c r="Q28" s="29"/>
      <c r="R28" s="31"/>
      <c r="S28" s="30">
        <v>732</v>
      </c>
    </row>
    <row r="29" spans="1:19" ht="15">
      <c r="A29" s="26">
        <v>25</v>
      </c>
      <c r="B29" s="26" t="s">
        <v>439</v>
      </c>
      <c r="C29" s="8">
        <v>730</v>
      </c>
      <c r="D29" s="8">
        <v>128</v>
      </c>
      <c r="E29" s="26"/>
      <c r="F29" s="26"/>
      <c r="G29" s="28">
        <v>858</v>
      </c>
      <c r="H29" s="26">
        <v>-2</v>
      </c>
      <c r="I29" s="26"/>
      <c r="J29" s="26"/>
      <c r="K29" s="31"/>
      <c r="L29" s="31"/>
      <c r="M29" s="29"/>
      <c r="N29" s="29"/>
      <c r="O29" s="31">
        <v>5</v>
      </c>
      <c r="P29" s="31"/>
      <c r="Q29" s="29"/>
      <c r="R29" s="31"/>
      <c r="S29" s="30">
        <v>861</v>
      </c>
    </row>
    <row r="30" spans="1:19" ht="15">
      <c r="A30" s="26">
        <v>26</v>
      </c>
      <c r="B30" s="26" t="s">
        <v>440</v>
      </c>
      <c r="C30" s="8">
        <v>730</v>
      </c>
      <c r="D30" s="8">
        <v>116</v>
      </c>
      <c r="E30" s="26"/>
      <c r="F30" s="26"/>
      <c r="G30" s="28">
        <v>846</v>
      </c>
      <c r="H30" s="26"/>
      <c r="I30" s="26"/>
      <c r="J30" s="26"/>
      <c r="K30" s="31"/>
      <c r="L30" s="31"/>
      <c r="M30" s="29"/>
      <c r="N30" s="29"/>
      <c r="O30" s="31">
        <v>5</v>
      </c>
      <c r="P30" s="31"/>
      <c r="Q30" s="29"/>
      <c r="R30" s="31"/>
      <c r="S30" s="30">
        <v>851</v>
      </c>
    </row>
    <row r="31" spans="1:19" ht="15">
      <c r="A31" s="26">
        <v>27</v>
      </c>
      <c r="B31" s="26" t="s">
        <v>441</v>
      </c>
      <c r="C31" s="8">
        <v>963</v>
      </c>
      <c r="D31" s="8">
        <v>32</v>
      </c>
      <c r="E31" s="26"/>
      <c r="F31" s="26"/>
      <c r="G31" s="28">
        <v>995</v>
      </c>
      <c r="H31" s="26"/>
      <c r="I31" s="26"/>
      <c r="J31" s="26"/>
      <c r="K31" s="31"/>
      <c r="L31" s="31"/>
      <c r="M31" s="29"/>
      <c r="N31" s="29">
        <v>8</v>
      </c>
      <c r="O31" s="31">
        <v>5</v>
      </c>
      <c r="P31" s="31"/>
      <c r="Q31" s="29"/>
      <c r="R31" s="31"/>
      <c r="S31" s="30">
        <v>1008</v>
      </c>
    </row>
    <row r="32" spans="1:19" ht="15">
      <c r="A32" s="26">
        <v>28</v>
      </c>
      <c r="B32" s="26" t="s">
        <v>442</v>
      </c>
      <c r="C32" s="8">
        <v>545</v>
      </c>
      <c r="D32" s="8">
        <v>226</v>
      </c>
      <c r="E32" s="26"/>
      <c r="F32" s="26"/>
      <c r="G32" s="28">
        <v>771</v>
      </c>
      <c r="H32" s="26"/>
      <c r="I32" s="26"/>
      <c r="J32" s="26"/>
      <c r="K32" s="31"/>
      <c r="L32" s="31"/>
      <c r="M32" s="29"/>
      <c r="N32" s="29">
        <v>5</v>
      </c>
      <c r="O32" s="31">
        <v>5</v>
      </c>
      <c r="P32" s="31"/>
      <c r="Q32" s="29"/>
      <c r="R32" s="31"/>
      <c r="S32" s="30">
        <v>781</v>
      </c>
    </row>
    <row r="33" spans="1:19" ht="15">
      <c r="A33" s="26">
        <v>29</v>
      </c>
      <c r="B33" s="26" t="s">
        <v>443</v>
      </c>
      <c r="C33" s="8">
        <v>220</v>
      </c>
      <c r="D33" s="8">
        <v>441</v>
      </c>
      <c r="E33" s="26">
        <v>15</v>
      </c>
      <c r="F33" s="26"/>
      <c r="G33" s="28">
        <v>676</v>
      </c>
      <c r="H33" s="26"/>
      <c r="I33" s="26"/>
      <c r="J33" s="26"/>
      <c r="K33" s="31"/>
      <c r="L33" s="31"/>
      <c r="M33" s="29"/>
      <c r="N33" s="29"/>
      <c r="O33" s="31">
        <v>5</v>
      </c>
      <c r="P33" s="31"/>
      <c r="Q33" s="29"/>
      <c r="R33" s="31"/>
      <c r="S33" s="30">
        <v>681</v>
      </c>
    </row>
    <row r="34" spans="1:19" ht="15">
      <c r="A34" s="26">
        <v>30</v>
      </c>
      <c r="B34" s="26" t="s">
        <v>444</v>
      </c>
      <c r="C34" s="8">
        <v>570</v>
      </c>
      <c r="D34" s="8">
        <v>226</v>
      </c>
      <c r="E34" s="26"/>
      <c r="F34" s="26"/>
      <c r="G34" s="28">
        <v>796</v>
      </c>
      <c r="H34" s="26"/>
      <c r="I34" s="26"/>
      <c r="J34" s="26"/>
      <c r="K34" s="31"/>
      <c r="L34" s="31"/>
      <c r="M34" s="29"/>
      <c r="N34" s="29"/>
      <c r="O34" s="31">
        <v>5</v>
      </c>
      <c r="P34" s="31"/>
      <c r="Q34" s="29"/>
      <c r="R34" s="31"/>
      <c r="S34" s="30">
        <v>801</v>
      </c>
    </row>
    <row r="35" spans="1:19" ht="15">
      <c r="A35" s="99">
        <v>31</v>
      </c>
      <c r="B35" s="27"/>
      <c r="C35" s="100"/>
      <c r="D35" s="100"/>
      <c r="E35" s="99"/>
      <c r="F35" s="99"/>
      <c r="G35" s="110"/>
      <c r="H35" s="99"/>
      <c r="I35" s="99"/>
      <c r="J35" s="99"/>
      <c r="L35" s="102"/>
      <c r="M35" s="99"/>
      <c r="N35" s="99"/>
      <c r="O35" s="102"/>
      <c r="P35" s="102"/>
      <c r="Q35" s="99"/>
      <c r="R35" s="102"/>
      <c r="S35" s="111"/>
    </row>
    <row r="36" spans="7:12" ht="15">
      <c r="G36" s="55"/>
      <c r="H36" s="55" t="s">
        <v>20</v>
      </c>
      <c r="I36" s="55"/>
      <c r="J36" s="55"/>
      <c r="K36" s="55" t="s">
        <v>445</v>
      </c>
      <c r="L36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:S40"/>
    </sheetView>
  </sheetViews>
  <sheetFormatPr defaultColWidth="9.140625" defaultRowHeight="15"/>
  <sheetData>
    <row r="1" spans="1:19" ht="18.75">
      <c r="A1" s="303" t="s">
        <v>446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17421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47.25">
      <c r="A5" s="26">
        <v>1</v>
      </c>
      <c r="B5" s="112" t="s">
        <v>447</v>
      </c>
      <c r="C5" s="26">
        <v>89</v>
      </c>
      <c r="D5" s="26">
        <v>41</v>
      </c>
      <c r="E5" s="26">
        <v>1</v>
      </c>
      <c r="F5" s="26"/>
      <c r="G5" s="28">
        <v>657</v>
      </c>
      <c r="H5" s="26"/>
      <c r="I5" s="26"/>
      <c r="J5" s="26"/>
      <c r="K5" s="29"/>
      <c r="L5" s="29"/>
      <c r="M5" s="29"/>
      <c r="N5" s="29"/>
      <c r="O5" s="29"/>
      <c r="P5" s="29"/>
      <c r="Q5" s="29"/>
      <c r="R5" s="29"/>
      <c r="S5" s="30">
        <v>657</v>
      </c>
    </row>
    <row r="6" spans="1:19" ht="47.25">
      <c r="A6" s="26">
        <v>2</v>
      </c>
      <c r="B6" s="112" t="s">
        <v>448</v>
      </c>
      <c r="C6" s="26">
        <v>76</v>
      </c>
      <c r="D6" s="26">
        <v>52</v>
      </c>
      <c r="E6" s="26">
        <v>2</v>
      </c>
      <c r="F6" s="26"/>
      <c r="G6" s="28">
        <v>594</v>
      </c>
      <c r="H6" s="26"/>
      <c r="I6" s="26"/>
      <c r="J6" s="26"/>
      <c r="K6" s="31"/>
      <c r="L6" s="31"/>
      <c r="M6" s="29"/>
      <c r="N6" s="29"/>
      <c r="O6" s="31"/>
      <c r="P6" s="31"/>
      <c r="Q6" s="29"/>
      <c r="R6" s="31"/>
      <c r="S6" s="30">
        <v>594</v>
      </c>
    </row>
    <row r="7" spans="1:19" ht="63">
      <c r="A7" s="26">
        <v>3</v>
      </c>
      <c r="B7" s="112" t="s">
        <v>449</v>
      </c>
      <c r="C7" s="26">
        <v>92</v>
      </c>
      <c r="D7" s="26">
        <v>39</v>
      </c>
      <c r="E7" s="26">
        <v>1</v>
      </c>
      <c r="F7" s="26"/>
      <c r="G7" s="28">
        <v>619</v>
      </c>
      <c r="H7" s="26">
        <v>-20</v>
      </c>
      <c r="I7" s="26"/>
      <c r="J7" s="26"/>
      <c r="K7" s="31"/>
      <c r="L7" s="31"/>
      <c r="M7" s="29"/>
      <c r="N7" s="29"/>
      <c r="O7" s="31"/>
      <c r="P7" s="31"/>
      <c r="Q7" s="29"/>
      <c r="R7" s="31"/>
      <c r="S7" s="30">
        <v>599</v>
      </c>
    </row>
    <row r="8" spans="1:19" ht="47.25">
      <c r="A8" s="26">
        <v>4</v>
      </c>
      <c r="B8" s="112" t="s">
        <v>450</v>
      </c>
      <c r="C8" s="26">
        <v>64</v>
      </c>
      <c r="D8" s="26">
        <v>63</v>
      </c>
      <c r="E8" s="26">
        <v>3</v>
      </c>
      <c r="F8" s="26"/>
      <c r="G8" s="28">
        <v>581</v>
      </c>
      <c r="H8" s="26"/>
      <c r="I8" s="26"/>
      <c r="J8" s="26"/>
      <c r="K8" s="31"/>
      <c r="L8" s="31"/>
      <c r="M8" s="29"/>
      <c r="N8" s="29"/>
      <c r="O8" s="31"/>
      <c r="P8" s="31"/>
      <c r="Q8" s="29"/>
      <c r="R8" s="31"/>
      <c r="S8" s="30">
        <v>581</v>
      </c>
    </row>
    <row r="9" spans="1:19" ht="31.5">
      <c r="A9" s="26">
        <v>5</v>
      </c>
      <c r="B9" s="112" t="s">
        <v>451</v>
      </c>
      <c r="C9" s="26">
        <v>41</v>
      </c>
      <c r="D9" s="26">
        <v>84</v>
      </c>
      <c r="E9" s="26">
        <v>3</v>
      </c>
      <c r="F9" s="26"/>
      <c r="G9" s="28">
        <v>550</v>
      </c>
      <c r="H9" s="26"/>
      <c r="I9" s="26"/>
      <c r="J9" s="26"/>
      <c r="K9" s="31">
        <v>10</v>
      </c>
      <c r="L9" s="31"/>
      <c r="M9" s="29"/>
      <c r="N9" s="29"/>
      <c r="O9" s="31"/>
      <c r="P9" s="31"/>
      <c r="Q9" s="29"/>
      <c r="R9" s="31"/>
      <c r="S9" s="30">
        <v>560</v>
      </c>
    </row>
    <row r="10" spans="1:19" ht="63">
      <c r="A10" s="26">
        <v>6</v>
      </c>
      <c r="B10" s="112" t="s">
        <v>452</v>
      </c>
      <c r="C10" s="26">
        <v>97</v>
      </c>
      <c r="D10" s="26">
        <v>33</v>
      </c>
      <c r="E10" s="26">
        <v>3</v>
      </c>
      <c r="F10" s="26"/>
      <c r="G10" s="28">
        <v>626</v>
      </c>
      <c r="H10" s="26"/>
      <c r="I10" s="26"/>
      <c r="J10" s="26"/>
      <c r="K10" s="31">
        <v>10</v>
      </c>
      <c r="L10" s="31"/>
      <c r="M10" s="29"/>
      <c r="N10" s="29"/>
      <c r="O10" s="31"/>
      <c r="P10" s="31"/>
      <c r="Q10" s="29"/>
      <c r="R10" s="31"/>
      <c r="S10" s="30">
        <v>636</v>
      </c>
    </row>
    <row r="11" spans="1:19" ht="31.5">
      <c r="A11" s="26">
        <v>7</v>
      </c>
      <c r="B11" s="112" t="s">
        <v>453</v>
      </c>
      <c r="C11" s="26">
        <v>59</v>
      </c>
      <c r="D11" s="26">
        <v>71</v>
      </c>
      <c r="E11" s="26">
        <v>3</v>
      </c>
      <c r="F11" s="26"/>
      <c r="G11" s="28">
        <v>582</v>
      </c>
      <c r="H11" s="26"/>
      <c r="I11" s="26"/>
      <c r="J11" s="26"/>
      <c r="K11" s="31">
        <v>10</v>
      </c>
      <c r="L11" s="31"/>
      <c r="M11" s="29"/>
      <c r="N11" s="29"/>
      <c r="O11" s="31"/>
      <c r="P11" s="31"/>
      <c r="Q11" s="29"/>
      <c r="R11" s="31"/>
      <c r="S11" s="30">
        <v>592</v>
      </c>
    </row>
    <row r="12" spans="1:19" ht="31.5">
      <c r="A12" s="26">
        <v>8</v>
      </c>
      <c r="B12" s="112" t="s">
        <v>454</v>
      </c>
      <c r="C12" s="26">
        <v>90</v>
      </c>
      <c r="D12" s="26">
        <v>41</v>
      </c>
      <c r="E12" s="26">
        <v>2</v>
      </c>
      <c r="F12" s="26"/>
      <c r="G12" s="28">
        <v>620</v>
      </c>
      <c r="H12" s="26">
        <v>-20</v>
      </c>
      <c r="I12" s="26"/>
      <c r="J12" s="26"/>
      <c r="K12" s="31"/>
      <c r="L12" s="31"/>
      <c r="M12" s="29"/>
      <c r="N12" s="29"/>
      <c r="O12" s="31"/>
      <c r="P12" s="31"/>
      <c r="Q12" s="29"/>
      <c r="R12" s="31"/>
      <c r="S12" s="30">
        <v>600</v>
      </c>
    </row>
    <row r="13" spans="1:19" ht="47.25">
      <c r="A13" s="32">
        <v>9</v>
      </c>
      <c r="B13" s="112" t="s">
        <v>455</v>
      </c>
      <c r="C13" s="26">
        <v>51</v>
      </c>
      <c r="D13" s="26">
        <v>69</v>
      </c>
      <c r="E13" s="26">
        <v>8</v>
      </c>
      <c r="F13" s="32">
        <v>-2</v>
      </c>
      <c r="G13" s="28">
        <v>553</v>
      </c>
      <c r="H13" s="32"/>
      <c r="I13" s="32"/>
      <c r="J13" s="32"/>
      <c r="K13" s="34"/>
      <c r="L13" s="34"/>
      <c r="M13" s="32"/>
      <c r="N13" s="32"/>
      <c r="O13" s="34"/>
      <c r="P13" s="34"/>
      <c r="Q13" s="32"/>
      <c r="R13" s="34"/>
      <c r="S13" s="30">
        <v>553</v>
      </c>
    </row>
    <row r="14" spans="1:19" ht="31.5">
      <c r="A14" s="32">
        <v>10</v>
      </c>
      <c r="B14" s="112" t="s">
        <v>456</v>
      </c>
      <c r="C14" s="26">
        <v>80</v>
      </c>
      <c r="D14" s="26">
        <v>50</v>
      </c>
      <c r="E14" s="26">
        <v>2</v>
      </c>
      <c r="F14" s="32"/>
      <c r="G14" s="28">
        <v>606</v>
      </c>
      <c r="H14" s="32"/>
      <c r="I14" s="32"/>
      <c r="J14" s="32"/>
      <c r="K14" s="34">
        <v>10</v>
      </c>
      <c r="L14" s="34"/>
      <c r="M14" s="32"/>
      <c r="N14" s="32"/>
      <c r="O14" s="34"/>
      <c r="P14" s="34"/>
      <c r="Q14" s="32"/>
      <c r="R14" s="34"/>
      <c r="S14" s="30">
        <v>616</v>
      </c>
    </row>
    <row r="15" spans="1:19" ht="47.25">
      <c r="A15" s="26">
        <v>11</v>
      </c>
      <c r="B15" s="112" t="s">
        <v>457</v>
      </c>
      <c r="C15" s="26">
        <v>59</v>
      </c>
      <c r="D15" s="26">
        <v>71</v>
      </c>
      <c r="E15" s="26">
        <v>2</v>
      </c>
      <c r="F15" s="26"/>
      <c r="G15" s="28">
        <v>585</v>
      </c>
      <c r="H15" s="26">
        <v>-20</v>
      </c>
      <c r="I15" s="26"/>
      <c r="J15" s="26"/>
      <c r="K15" s="31"/>
      <c r="L15" s="31"/>
      <c r="M15" s="29"/>
      <c r="N15" s="29"/>
      <c r="O15" s="31"/>
      <c r="P15" s="31"/>
      <c r="Q15" s="29"/>
      <c r="R15" s="31"/>
      <c r="S15" s="30">
        <v>565</v>
      </c>
    </row>
    <row r="16" spans="1:19" ht="47.25">
      <c r="A16" s="32">
        <v>12</v>
      </c>
      <c r="B16" s="112" t="s">
        <v>458</v>
      </c>
      <c r="C16" s="26">
        <v>43</v>
      </c>
      <c r="D16" s="26">
        <v>87</v>
      </c>
      <c r="E16" s="26">
        <v>4</v>
      </c>
      <c r="F16" s="32">
        <v>-2</v>
      </c>
      <c r="G16" s="28">
        <v>573</v>
      </c>
      <c r="H16" s="32"/>
      <c r="I16" s="32"/>
      <c r="J16" s="32"/>
      <c r="K16" s="34"/>
      <c r="L16" s="34"/>
      <c r="M16" s="32"/>
      <c r="N16" s="32"/>
      <c r="O16" s="34"/>
      <c r="P16" s="34"/>
      <c r="Q16" s="32"/>
      <c r="R16" s="34"/>
      <c r="S16" s="30">
        <v>573</v>
      </c>
    </row>
    <row r="17" spans="1:19" ht="47.25">
      <c r="A17" s="26">
        <v>13</v>
      </c>
      <c r="B17" s="112" t="s">
        <v>459</v>
      </c>
      <c r="C17" s="26">
        <v>47</v>
      </c>
      <c r="D17" s="26">
        <v>81</v>
      </c>
      <c r="E17" s="26">
        <v>6</v>
      </c>
      <c r="F17" s="26"/>
      <c r="G17" s="28">
        <v>577</v>
      </c>
      <c r="H17" s="26"/>
      <c r="I17" s="26"/>
      <c r="J17" s="26"/>
      <c r="K17" s="31"/>
      <c r="L17" s="31"/>
      <c r="M17" s="29"/>
      <c r="N17" s="29"/>
      <c r="O17" s="31"/>
      <c r="P17" s="31"/>
      <c r="Q17" s="29"/>
      <c r="R17" s="31"/>
      <c r="S17" s="30">
        <v>577</v>
      </c>
    </row>
    <row r="18" spans="1:19" ht="31.5">
      <c r="A18" s="26">
        <v>14</v>
      </c>
      <c r="B18" s="112" t="s">
        <v>460</v>
      </c>
      <c r="C18" s="26">
        <v>35</v>
      </c>
      <c r="D18" s="26">
        <v>87</v>
      </c>
      <c r="E18" s="26">
        <v>8</v>
      </c>
      <c r="F18" s="26"/>
      <c r="G18" s="28">
        <v>547</v>
      </c>
      <c r="H18" s="26"/>
      <c r="I18" s="26"/>
      <c r="J18" s="26"/>
      <c r="K18" s="31"/>
      <c r="L18" s="31"/>
      <c r="M18" s="29"/>
      <c r="N18" s="29"/>
      <c r="O18" s="31"/>
      <c r="P18" s="31"/>
      <c r="Q18" s="29"/>
      <c r="R18" s="31"/>
      <c r="S18" s="30">
        <v>547</v>
      </c>
    </row>
    <row r="19" spans="1:19" ht="31.5">
      <c r="A19" s="26">
        <v>15</v>
      </c>
      <c r="B19" s="112" t="s">
        <v>461</v>
      </c>
      <c r="C19" s="26">
        <v>41</v>
      </c>
      <c r="D19" s="26">
        <v>86</v>
      </c>
      <c r="E19" s="26">
        <v>4</v>
      </c>
      <c r="F19" s="26"/>
      <c r="G19" s="28">
        <v>561</v>
      </c>
      <c r="H19" s="26"/>
      <c r="I19" s="26"/>
      <c r="J19" s="26"/>
      <c r="K19" s="31"/>
      <c r="L19" s="31"/>
      <c r="M19" s="29"/>
      <c r="N19" s="29"/>
      <c r="O19" s="31"/>
      <c r="P19" s="31"/>
      <c r="Q19" s="29"/>
      <c r="R19" s="31"/>
      <c r="S19" s="30">
        <v>561</v>
      </c>
    </row>
    <row r="20" spans="1:19" ht="47.25">
      <c r="A20" s="26">
        <v>16</v>
      </c>
      <c r="B20" s="112" t="s">
        <v>462</v>
      </c>
      <c r="C20" s="26">
        <v>44</v>
      </c>
      <c r="D20" s="26">
        <v>81</v>
      </c>
      <c r="E20" s="26">
        <v>6</v>
      </c>
      <c r="F20" s="26"/>
      <c r="G20" s="28">
        <v>562</v>
      </c>
      <c r="H20" s="26"/>
      <c r="I20" s="26"/>
      <c r="J20" s="26"/>
      <c r="K20" s="31"/>
      <c r="L20" s="31"/>
      <c r="M20" s="29"/>
      <c r="N20" s="29"/>
      <c r="O20" s="31"/>
      <c r="P20" s="31"/>
      <c r="Q20" s="29"/>
      <c r="R20" s="31"/>
      <c r="S20" s="30">
        <v>562</v>
      </c>
    </row>
    <row r="21" spans="1:19" ht="63">
      <c r="A21" s="26">
        <v>17</v>
      </c>
      <c r="B21" s="112" t="s">
        <v>463</v>
      </c>
      <c r="C21" s="26">
        <v>76</v>
      </c>
      <c r="D21" s="26">
        <v>52</v>
      </c>
      <c r="E21" s="26">
        <v>1</v>
      </c>
      <c r="F21" s="26"/>
      <c r="G21" s="28">
        <v>591</v>
      </c>
      <c r="H21" s="26"/>
      <c r="I21" s="26"/>
      <c r="J21" s="26"/>
      <c r="K21" s="31"/>
      <c r="L21" s="31"/>
      <c r="M21" s="29"/>
      <c r="N21" s="29"/>
      <c r="O21" s="31"/>
      <c r="P21" s="31"/>
      <c r="Q21" s="29"/>
      <c r="R21" s="31"/>
      <c r="S21" s="30">
        <v>591</v>
      </c>
    </row>
    <row r="22" spans="1:19" ht="47.25">
      <c r="A22" s="26">
        <v>18</v>
      </c>
      <c r="B22" s="112" t="s">
        <v>464</v>
      </c>
      <c r="C22" s="26">
        <v>47</v>
      </c>
      <c r="D22" s="26">
        <v>79</v>
      </c>
      <c r="E22" s="26">
        <v>5</v>
      </c>
      <c r="F22" s="26"/>
      <c r="G22" s="28">
        <v>566</v>
      </c>
      <c r="H22" s="26"/>
      <c r="I22" s="26"/>
      <c r="J22" s="26"/>
      <c r="K22" s="31"/>
      <c r="L22" s="31"/>
      <c r="M22" s="29"/>
      <c r="N22" s="29"/>
      <c r="O22" s="31"/>
      <c r="P22" s="31"/>
      <c r="Q22" s="29"/>
      <c r="R22" s="31"/>
      <c r="S22" s="30">
        <v>566</v>
      </c>
    </row>
    <row r="23" spans="1:19" ht="47.25">
      <c r="A23" s="26">
        <v>19</v>
      </c>
      <c r="B23" s="112" t="s">
        <v>465</v>
      </c>
      <c r="C23" s="26">
        <v>55</v>
      </c>
      <c r="D23" s="26">
        <v>74</v>
      </c>
      <c r="E23" s="26">
        <v>3</v>
      </c>
      <c r="F23" s="26"/>
      <c r="G23" s="28">
        <v>580</v>
      </c>
      <c r="H23" s="26"/>
      <c r="I23" s="26"/>
      <c r="J23" s="26"/>
      <c r="K23" s="31"/>
      <c r="L23" s="31"/>
      <c r="M23" s="29"/>
      <c r="N23" s="29"/>
      <c r="O23" s="31"/>
      <c r="P23" s="31"/>
      <c r="Q23" s="29"/>
      <c r="R23" s="31"/>
      <c r="S23" s="30">
        <v>580</v>
      </c>
    </row>
    <row r="24" spans="1:19" ht="47.25">
      <c r="A24" s="26">
        <v>20</v>
      </c>
      <c r="B24" s="113" t="s">
        <v>466</v>
      </c>
      <c r="C24" s="26">
        <v>39</v>
      </c>
      <c r="D24" s="26">
        <v>90</v>
      </c>
      <c r="E24" s="26">
        <v>3</v>
      </c>
      <c r="F24" s="26"/>
      <c r="G24" s="28">
        <v>564</v>
      </c>
      <c r="H24" s="26"/>
      <c r="I24" s="26"/>
      <c r="J24" s="26"/>
      <c r="K24" s="31"/>
      <c r="L24" s="31"/>
      <c r="M24" s="29"/>
      <c r="N24" s="29"/>
      <c r="O24" s="31"/>
      <c r="P24" s="31"/>
      <c r="Q24" s="29"/>
      <c r="R24" s="31"/>
      <c r="S24" s="30">
        <v>564</v>
      </c>
    </row>
    <row r="25" spans="1:19" ht="31.5">
      <c r="A25" s="26">
        <v>21</v>
      </c>
      <c r="B25" s="113" t="s">
        <v>467</v>
      </c>
      <c r="C25" s="8">
        <v>115</v>
      </c>
      <c r="D25" s="8">
        <v>21</v>
      </c>
      <c r="E25" s="26"/>
      <c r="F25" s="26"/>
      <c r="G25" s="28">
        <v>659</v>
      </c>
      <c r="H25" s="26"/>
      <c r="I25" s="26"/>
      <c r="J25" s="26"/>
      <c r="K25" s="31"/>
      <c r="L25" s="31"/>
      <c r="M25" s="29"/>
      <c r="N25" s="29"/>
      <c r="O25" s="31"/>
      <c r="P25" s="31"/>
      <c r="Q25" s="29"/>
      <c r="R25" s="31"/>
      <c r="S25" s="30">
        <v>659</v>
      </c>
    </row>
    <row r="26" spans="1:19" ht="63">
      <c r="A26" s="26">
        <v>22</v>
      </c>
      <c r="B26" s="114" t="s">
        <v>468</v>
      </c>
      <c r="C26" s="8">
        <v>70</v>
      </c>
      <c r="D26" s="8">
        <v>61</v>
      </c>
      <c r="E26" s="26">
        <v>2</v>
      </c>
      <c r="F26" s="26"/>
      <c r="G26" s="28">
        <v>600</v>
      </c>
      <c r="H26" s="26"/>
      <c r="I26" s="26"/>
      <c r="J26" s="26"/>
      <c r="K26" s="31"/>
      <c r="L26" s="31"/>
      <c r="M26" s="29"/>
      <c r="N26" s="29"/>
      <c r="O26" s="31"/>
      <c r="P26" s="31"/>
      <c r="Q26" s="29"/>
      <c r="R26" s="31"/>
      <c r="S26" s="30">
        <v>600</v>
      </c>
    </row>
    <row r="27" spans="1:19" ht="15.75">
      <c r="A27" s="26">
        <v>23</v>
      </c>
      <c r="B27" s="115" t="s">
        <v>469</v>
      </c>
      <c r="C27" s="8">
        <v>118</v>
      </c>
      <c r="D27" s="8">
        <v>20</v>
      </c>
      <c r="E27" s="26"/>
      <c r="F27" s="26"/>
      <c r="G27" s="28">
        <v>670</v>
      </c>
      <c r="H27" s="26"/>
      <c r="I27" s="26"/>
      <c r="J27" s="26"/>
      <c r="K27" s="31">
        <v>20</v>
      </c>
      <c r="L27" s="31"/>
      <c r="M27" s="29"/>
      <c r="N27" s="29"/>
      <c r="O27" s="31"/>
      <c r="P27" s="31"/>
      <c r="Q27" s="29"/>
      <c r="R27" s="31"/>
      <c r="S27" s="30">
        <v>690</v>
      </c>
    </row>
    <row r="28" spans="1:19" ht="15.75">
      <c r="A28" s="26">
        <v>24</v>
      </c>
      <c r="B28" s="116" t="s">
        <v>470</v>
      </c>
      <c r="C28" s="8">
        <v>33</v>
      </c>
      <c r="D28" s="8">
        <v>47</v>
      </c>
      <c r="E28" s="26">
        <v>36</v>
      </c>
      <c r="F28" s="26"/>
      <c r="G28" s="28">
        <v>561</v>
      </c>
      <c r="H28" s="26"/>
      <c r="I28" s="26"/>
      <c r="J28" s="26"/>
      <c r="K28" s="31"/>
      <c r="L28" s="31"/>
      <c r="M28" s="29"/>
      <c r="N28" s="29"/>
      <c r="O28" s="31"/>
      <c r="P28" s="31"/>
      <c r="Q28" s="29"/>
      <c r="R28" s="31"/>
      <c r="S28" s="30">
        <v>561</v>
      </c>
    </row>
    <row r="29" spans="1:19" ht="15.75">
      <c r="A29" s="26">
        <v>25</v>
      </c>
      <c r="B29" s="116" t="s">
        <v>471</v>
      </c>
      <c r="C29" s="8">
        <v>32</v>
      </c>
      <c r="D29" s="8">
        <v>56</v>
      </c>
      <c r="E29" s="26">
        <v>55</v>
      </c>
      <c r="F29" s="26"/>
      <c r="G29" s="28">
        <v>549</v>
      </c>
      <c r="H29" s="26">
        <v>-160</v>
      </c>
      <c r="I29" s="26"/>
      <c r="J29" s="26"/>
      <c r="K29" s="31"/>
      <c r="L29" s="31"/>
      <c r="M29" s="29"/>
      <c r="N29" s="29"/>
      <c r="O29" s="31"/>
      <c r="P29" s="31"/>
      <c r="Q29" s="29"/>
      <c r="R29" s="31"/>
      <c r="S29" s="30">
        <v>389</v>
      </c>
    </row>
    <row r="30" spans="1:19" ht="15.75">
      <c r="A30" s="26">
        <v>26</v>
      </c>
      <c r="B30" s="117" t="s">
        <v>472</v>
      </c>
      <c r="C30" s="8">
        <v>113</v>
      </c>
      <c r="D30" s="8">
        <v>28</v>
      </c>
      <c r="E30" s="26">
        <v>1</v>
      </c>
      <c r="F30" s="26"/>
      <c r="G30" s="28">
        <v>680</v>
      </c>
      <c r="H30" s="26">
        <v>-360</v>
      </c>
      <c r="I30" s="26"/>
      <c r="J30" s="26"/>
      <c r="K30" s="31"/>
      <c r="L30" s="31"/>
      <c r="M30" s="29"/>
      <c r="N30" s="29"/>
      <c r="O30" s="31"/>
      <c r="P30" s="31"/>
      <c r="Q30" s="29"/>
      <c r="R30" s="31"/>
      <c r="S30" s="30">
        <v>320</v>
      </c>
    </row>
    <row r="31" spans="1:19" ht="15.75">
      <c r="A31" s="26">
        <v>27</v>
      </c>
      <c r="B31" s="116" t="s">
        <v>473</v>
      </c>
      <c r="C31" s="8">
        <v>37</v>
      </c>
      <c r="D31" s="8">
        <v>94</v>
      </c>
      <c r="E31" s="26">
        <v>7</v>
      </c>
      <c r="F31" s="26"/>
      <c r="G31" s="28">
        <v>592</v>
      </c>
      <c r="H31" s="26"/>
      <c r="I31" s="26"/>
      <c r="J31" s="26"/>
      <c r="K31" s="31"/>
      <c r="L31" s="31"/>
      <c r="M31" s="29"/>
      <c r="N31" s="29"/>
      <c r="O31" s="31"/>
      <c r="P31" s="31"/>
      <c r="Q31" s="29"/>
      <c r="R31" s="31"/>
      <c r="S31" s="30">
        <v>592</v>
      </c>
    </row>
    <row r="32" spans="1:19" ht="15.75">
      <c r="A32" s="26">
        <v>28</v>
      </c>
      <c r="B32" s="116" t="s">
        <v>474</v>
      </c>
      <c r="C32" s="8">
        <v>85</v>
      </c>
      <c r="D32" s="8">
        <v>54</v>
      </c>
      <c r="E32" s="26"/>
      <c r="F32" s="26"/>
      <c r="G32" s="28">
        <v>641</v>
      </c>
      <c r="H32" s="26"/>
      <c r="I32" s="26"/>
      <c r="J32" s="26"/>
      <c r="K32" s="31"/>
      <c r="L32" s="31"/>
      <c r="M32" s="29"/>
      <c r="N32" s="29"/>
      <c r="O32" s="31"/>
      <c r="P32" s="31"/>
      <c r="Q32" s="29"/>
      <c r="R32" s="31"/>
      <c r="S32" s="30">
        <v>641</v>
      </c>
    </row>
    <row r="33" spans="1:19" ht="15.75">
      <c r="A33" s="26">
        <v>29</v>
      </c>
      <c r="B33" s="116" t="s">
        <v>475</v>
      </c>
      <c r="C33" s="8">
        <v>119</v>
      </c>
      <c r="D33" s="8">
        <v>27</v>
      </c>
      <c r="E33" s="26">
        <v>3</v>
      </c>
      <c r="F33" s="26"/>
      <c r="G33" s="28">
        <v>712</v>
      </c>
      <c r="H33" s="26"/>
      <c r="I33" s="26"/>
      <c r="J33" s="26"/>
      <c r="K33" s="31"/>
      <c r="L33" s="31"/>
      <c r="M33" s="29"/>
      <c r="N33" s="29"/>
      <c r="O33" s="31"/>
      <c r="P33" s="31"/>
      <c r="Q33" s="29"/>
      <c r="R33" s="31"/>
      <c r="S33" s="30">
        <v>712</v>
      </c>
    </row>
    <row r="34" spans="1:19" ht="15.75">
      <c r="A34" s="26">
        <v>30</v>
      </c>
      <c r="B34" s="116" t="s">
        <v>476</v>
      </c>
      <c r="C34" s="8">
        <v>52</v>
      </c>
      <c r="D34" s="8">
        <v>65</v>
      </c>
      <c r="E34" s="26">
        <v>21</v>
      </c>
      <c r="F34" s="26"/>
      <c r="G34" s="28">
        <v>583</v>
      </c>
      <c r="H34" s="26"/>
      <c r="I34" s="26"/>
      <c r="J34" s="26"/>
      <c r="K34" s="31"/>
      <c r="L34" s="31"/>
      <c r="M34" s="29"/>
      <c r="N34" s="29"/>
      <c r="O34" s="31"/>
      <c r="P34" s="31"/>
      <c r="Q34" s="29"/>
      <c r="R34" s="31"/>
      <c r="S34" s="30">
        <v>583</v>
      </c>
    </row>
    <row r="35" spans="1:19" ht="15.75">
      <c r="A35" s="99">
        <v>31</v>
      </c>
      <c r="B35" s="116" t="s">
        <v>477</v>
      </c>
      <c r="C35" s="100">
        <v>59</v>
      </c>
      <c r="D35" s="100">
        <v>75</v>
      </c>
      <c r="E35" s="99">
        <v>2</v>
      </c>
      <c r="F35" s="99"/>
      <c r="G35" s="110">
        <v>601</v>
      </c>
      <c r="H35" s="99"/>
      <c r="I35" s="99"/>
      <c r="J35" s="99"/>
      <c r="L35" s="102"/>
      <c r="M35" s="99"/>
      <c r="N35" s="99"/>
      <c r="O35" s="102"/>
      <c r="P35" s="102"/>
      <c r="Q35" s="99"/>
      <c r="R35" s="102"/>
      <c r="S35" s="111">
        <v>601</v>
      </c>
    </row>
    <row r="36" spans="1:19" ht="15.75">
      <c r="A36" s="118">
        <v>32</v>
      </c>
      <c r="B36" s="119" t="s">
        <v>478</v>
      </c>
      <c r="C36" s="120">
        <v>119</v>
      </c>
      <c r="D36" s="120">
        <v>24</v>
      </c>
      <c r="E36" s="120">
        <v>2</v>
      </c>
      <c r="F36" s="120"/>
      <c r="G36" s="121">
        <v>697</v>
      </c>
      <c r="H36" s="122"/>
      <c r="I36" s="122"/>
      <c r="J36" s="122"/>
      <c r="K36" s="122"/>
      <c r="L36" s="122"/>
      <c r="M36" s="120"/>
      <c r="N36" s="120"/>
      <c r="O36" s="120"/>
      <c r="P36" s="120"/>
      <c r="Q36" s="120"/>
      <c r="R36" s="120"/>
      <c r="S36" s="123">
        <v>697</v>
      </c>
    </row>
    <row r="37" spans="1:19" ht="15.75">
      <c r="A37" s="118">
        <v>33</v>
      </c>
      <c r="B37" s="119" t="s">
        <v>479</v>
      </c>
      <c r="C37" s="120">
        <v>58</v>
      </c>
      <c r="D37" s="120">
        <v>48</v>
      </c>
      <c r="E37" s="120">
        <v>43</v>
      </c>
      <c r="F37" s="120"/>
      <c r="G37" s="121">
        <v>611</v>
      </c>
      <c r="H37" s="122">
        <v>-400</v>
      </c>
      <c r="I37" s="122"/>
      <c r="J37" s="122"/>
      <c r="K37" s="122"/>
      <c r="L37" s="122"/>
      <c r="M37" s="120"/>
      <c r="N37" s="120"/>
      <c r="O37" s="120"/>
      <c r="P37" s="120"/>
      <c r="Q37" s="120"/>
      <c r="R37" s="120"/>
      <c r="S37" s="123">
        <v>211</v>
      </c>
    </row>
    <row r="38" spans="1:19" ht="16.5" thickBot="1">
      <c r="A38" s="124">
        <v>34</v>
      </c>
      <c r="B38" s="125" t="s">
        <v>480</v>
      </c>
      <c r="C38" s="120">
        <v>64</v>
      </c>
      <c r="D38" s="120">
        <v>71</v>
      </c>
      <c r="E38" s="120">
        <v>3</v>
      </c>
      <c r="F38" s="120"/>
      <c r="G38" s="123">
        <v>613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3">
        <v>613</v>
      </c>
    </row>
    <row r="40" spans="8:12" ht="15.75">
      <c r="H40" s="55" t="s">
        <v>481</v>
      </c>
      <c r="I40" s="55"/>
      <c r="J40" s="55"/>
      <c r="K40" s="106" t="s">
        <v>482</v>
      </c>
      <c r="L40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R31"/>
    </sheetView>
  </sheetViews>
  <sheetFormatPr defaultColWidth="9.140625" defaultRowHeight="15"/>
  <sheetData>
    <row r="1" spans="1:18" ht="15">
      <c r="A1" s="321" t="s">
        <v>483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5.75" thickBot="1">
      <c r="A2" s="21"/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126" t="s">
        <v>484</v>
      </c>
      <c r="P2" s="126"/>
      <c r="Q2" s="126"/>
      <c r="R2" s="126">
        <f>SUM(R5:R31)</f>
        <v>11845</v>
      </c>
    </row>
    <row r="3" spans="1:18" ht="15">
      <c r="A3" s="339" t="s">
        <v>1</v>
      </c>
      <c r="B3" s="341" t="s">
        <v>2</v>
      </c>
      <c r="C3" s="343" t="s">
        <v>7</v>
      </c>
      <c r="D3" s="343" t="s">
        <v>8</v>
      </c>
      <c r="E3" s="343" t="s">
        <v>9</v>
      </c>
      <c r="F3" s="343" t="s">
        <v>10</v>
      </c>
      <c r="G3" s="343" t="s">
        <v>11</v>
      </c>
      <c r="H3" s="343" t="s">
        <v>4</v>
      </c>
      <c r="I3" s="343" t="s">
        <v>12</v>
      </c>
      <c r="J3" s="343" t="s">
        <v>13</v>
      </c>
      <c r="K3" s="343" t="s">
        <v>14</v>
      </c>
      <c r="L3" s="343" t="s">
        <v>15</v>
      </c>
      <c r="M3" s="343" t="s">
        <v>16</v>
      </c>
      <c r="N3" s="343" t="s">
        <v>17</v>
      </c>
      <c r="O3" s="343" t="s">
        <v>5</v>
      </c>
      <c r="P3" s="345" t="s">
        <v>18</v>
      </c>
      <c r="Q3" s="347" t="s">
        <v>6</v>
      </c>
      <c r="R3" s="349" t="s">
        <v>3</v>
      </c>
    </row>
    <row r="4" spans="1:18" ht="15.75" thickBot="1">
      <c r="A4" s="340"/>
      <c r="B4" s="342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6"/>
      <c r="Q4" s="348"/>
      <c r="R4" s="350"/>
    </row>
    <row r="5" spans="1:18" ht="22.5">
      <c r="A5" s="127">
        <v>1</v>
      </c>
      <c r="B5" s="128" t="s">
        <v>485</v>
      </c>
      <c r="C5" s="129">
        <v>100</v>
      </c>
      <c r="D5" s="130">
        <v>265</v>
      </c>
      <c r="E5" s="130">
        <v>15</v>
      </c>
      <c r="F5" s="130">
        <v>0</v>
      </c>
      <c r="G5" s="130">
        <v>0</v>
      </c>
      <c r="H5" s="130">
        <v>0</v>
      </c>
      <c r="I5" s="130">
        <v>0</v>
      </c>
      <c r="J5" s="131">
        <v>0</v>
      </c>
      <c r="K5" s="131">
        <v>0</v>
      </c>
      <c r="L5" s="131">
        <v>0</v>
      </c>
      <c r="M5" s="132">
        <v>0</v>
      </c>
      <c r="N5" s="131">
        <v>5</v>
      </c>
      <c r="O5" s="131">
        <v>0</v>
      </c>
      <c r="P5" s="131">
        <v>0</v>
      </c>
      <c r="Q5" s="133">
        <v>0</v>
      </c>
      <c r="R5" s="134">
        <v>385</v>
      </c>
    </row>
    <row r="6" spans="1:18" ht="22.5">
      <c r="A6" s="135">
        <v>2</v>
      </c>
      <c r="B6" s="136" t="s">
        <v>486</v>
      </c>
      <c r="C6" s="82">
        <v>265</v>
      </c>
      <c r="D6" s="83">
        <v>104</v>
      </c>
      <c r="E6" s="83">
        <v>10</v>
      </c>
      <c r="F6" s="83">
        <v>0</v>
      </c>
      <c r="G6" s="83">
        <v>0</v>
      </c>
      <c r="H6" s="83">
        <v>0</v>
      </c>
      <c r="I6" s="83">
        <v>0</v>
      </c>
      <c r="J6" s="88">
        <v>0</v>
      </c>
      <c r="K6" s="88">
        <v>0</v>
      </c>
      <c r="L6" s="88">
        <v>0</v>
      </c>
      <c r="M6" s="88">
        <v>0</v>
      </c>
      <c r="N6" s="88">
        <v>5</v>
      </c>
      <c r="O6" s="88">
        <v>0</v>
      </c>
      <c r="P6" s="88">
        <v>0</v>
      </c>
      <c r="Q6" s="137">
        <v>0</v>
      </c>
      <c r="R6" s="138">
        <v>384</v>
      </c>
    </row>
    <row r="7" spans="1:18" ht="22.5">
      <c r="A7" s="135">
        <v>3</v>
      </c>
      <c r="B7" s="136" t="s">
        <v>487</v>
      </c>
      <c r="C7" s="82">
        <v>265</v>
      </c>
      <c r="D7" s="83">
        <v>100</v>
      </c>
      <c r="E7" s="83">
        <v>9</v>
      </c>
      <c r="F7" s="83">
        <v>0</v>
      </c>
      <c r="G7" s="83">
        <v>0</v>
      </c>
      <c r="H7" s="83">
        <v>0</v>
      </c>
      <c r="I7" s="83">
        <v>0</v>
      </c>
      <c r="J7" s="88">
        <v>0</v>
      </c>
      <c r="K7" s="88">
        <v>0</v>
      </c>
      <c r="L7" s="88">
        <v>0</v>
      </c>
      <c r="M7" s="88">
        <v>0</v>
      </c>
      <c r="N7" s="88">
        <v>5</v>
      </c>
      <c r="O7" s="88">
        <v>0</v>
      </c>
      <c r="P7" s="88">
        <v>0</v>
      </c>
      <c r="Q7" s="137">
        <v>0</v>
      </c>
      <c r="R7" s="138">
        <v>379</v>
      </c>
    </row>
    <row r="8" spans="1:18" ht="22.5">
      <c r="A8" s="135">
        <v>4</v>
      </c>
      <c r="B8" s="136" t="s">
        <v>488</v>
      </c>
      <c r="C8" s="82">
        <v>275</v>
      </c>
      <c r="D8" s="83">
        <v>114</v>
      </c>
      <c r="E8" s="83">
        <v>9</v>
      </c>
      <c r="F8" s="83">
        <v>0</v>
      </c>
      <c r="G8" s="83">
        <v>0</v>
      </c>
      <c r="H8" s="83">
        <v>0</v>
      </c>
      <c r="I8" s="83">
        <v>0</v>
      </c>
      <c r="J8" s="88">
        <v>0</v>
      </c>
      <c r="K8" s="88">
        <v>0</v>
      </c>
      <c r="L8" s="88">
        <v>0</v>
      </c>
      <c r="M8" s="88">
        <v>0</v>
      </c>
      <c r="N8" s="88">
        <v>5</v>
      </c>
      <c r="O8" s="88">
        <v>0</v>
      </c>
      <c r="P8" s="88">
        <v>0</v>
      </c>
      <c r="Q8" s="137">
        <v>0</v>
      </c>
      <c r="R8" s="138">
        <v>403</v>
      </c>
    </row>
    <row r="9" spans="1:18" ht="22.5">
      <c r="A9" s="135">
        <v>5</v>
      </c>
      <c r="B9" s="136" t="s">
        <v>489</v>
      </c>
      <c r="C9" s="82">
        <v>310</v>
      </c>
      <c r="D9" s="83">
        <v>150</v>
      </c>
      <c r="E9" s="83">
        <v>3</v>
      </c>
      <c r="F9" s="83">
        <v>0</v>
      </c>
      <c r="G9" s="83">
        <v>0</v>
      </c>
      <c r="H9" s="83">
        <v>0</v>
      </c>
      <c r="I9" s="83">
        <v>0</v>
      </c>
      <c r="J9" s="88">
        <v>0</v>
      </c>
      <c r="K9" s="88">
        <v>0</v>
      </c>
      <c r="L9" s="88">
        <v>0</v>
      </c>
      <c r="M9" s="88">
        <v>0</v>
      </c>
      <c r="N9" s="88">
        <v>5</v>
      </c>
      <c r="O9" s="88">
        <v>0</v>
      </c>
      <c r="P9" s="88">
        <v>0</v>
      </c>
      <c r="Q9" s="137">
        <v>0</v>
      </c>
      <c r="R9" s="138">
        <v>468</v>
      </c>
    </row>
    <row r="10" spans="1:18" ht="22.5">
      <c r="A10" s="135">
        <v>6</v>
      </c>
      <c r="B10" s="136" t="s">
        <v>490</v>
      </c>
      <c r="C10" s="82">
        <v>100</v>
      </c>
      <c r="D10" s="83">
        <v>296</v>
      </c>
      <c r="E10" s="83">
        <v>33</v>
      </c>
      <c r="F10" s="83">
        <v>0</v>
      </c>
      <c r="G10" s="83">
        <v>0</v>
      </c>
      <c r="H10" s="83">
        <v>0</v>
      </c>
      <c r="I10" s="83">
        <v>0</v>
      </c>
      <c r="J10" s="88">
        <v>0</v>
      </c>
      <c r="K10" s="88">
        <v>0</v>
      </c>
      <c r="L10" s="88">
        <v>0</v>
      </c>
      <c r="M10" s="88">
        <v>0</v>
      </c>
      <c r="N10" s="88">
        <v>5</v>
      </c>
      <c r="O10" s="88">
        <v>0</v>
      </c>
      <c r="P10" s="88">
        <v>0</v>
      </c>
      <c r="Q10" s="137">
        <v>0</v>
      </c>
      <c r="R10" s="138">
        <v>434</v>
      </c>
    </row>
    <row r="11" spans="1:18" ht="22.5">
      <c r="A11" s="135">
        <v>7</v>
      </c>
      <c r="B11" s="136" t="s">
        <v>491</v>
      </c>
      <c r="C11" s="82">
        <v>165</v>
      </c>
      <c r="D11" s="83">
        <v>312</v>
      </c>
      <c r="E11" s="83">
        <v>33</v>
      </c>
      <c r="F11" s="83">
        <v>0</v>
      </c>
      <c r="G11" s="83">
        <v>0</v>
      </c>
      <c r="H11" s="83">
        <v>0</v>
      </c>
      <c r="I11" s="83">
        <v>0</v>
      </c>
      <c r="J11" s="88">
        <v>0</v>
      </c>
      <c r="K11" s="88">
        <v>0</v>
      </c>
      <c r="L11" s="88">
        <v>0</v>
      </c>
      <c r="M11" s="88">
        <v>0</v>
      </c>
      <c r="N11" s="88">
        <v>5</v>
      </c>
      <c r="O11" s="88">
        <v>0</v>
      </c>
      <c r="P11" s="88">
        <v>0</v>
      </c>
      <c r="Q11" s="137">
        <v>0</v>
      </c>
      <c r="R11" s="138">
        <v>515</v>
      </c>
    </row>
    <row r="12" spans="1:18" ht="22.5">
      <c r="A12" s="135">
        <v>8</v>
      </c>
      <c r="B12" s="136" t="s">
        <v>492</v>
      </c>
      <c r="C12" s="82">
        <v>280</v>
      </c>
      <c r="D12" s="83">
        <v>104</v>
      </c>
      <c r="E12" s="83">
        <v>18</v>
      </c>
      <c r="F12" s="83">
        <v>0</v>
      </c>
      <c r="G12" s="83">
        <v>0</v>
      </c>
      <c r="H12" s="83">
        <v>0</v>
      </c>
      <c r="I12" s="83">
        <v>0</v>
      </c>
      <c r="J12" s="88">
        <v>0</v>
      </c>
      <c r="K12" s="88">
        <v>0</v>
      </c>
      <c r="L12" s="88">
        <v>0</v>
      </c>
      <c r="M12" s="88">
        <v>0</v>
      </c>
      <c r="N12" s="88">
        <v>5</v>
      </c>
      <c r="O12" s="88">
        <v>0</v>
      </c>
      <c r="P12" s="88">
        <v>0</v>
      </c>
      <c r="Q12" s="137">
        <v>0</v>
      </c>
      <c r="R12" s="138">
        <v>407</v>
      </c>
    </row>
    <row r="13" spans="1:18" ht="22.5">
      <c r="A13" s="135">
        <v>9</v>
      </c>
      <c r="B13" s="136" t="s">
        <v>493</v>
      </c>
      <c r="C13" s="82">
        <v>225</v>
      </c>
      <c r="D13" s="83">
        <v>154</v>
      </c>
      <c r="E13" s="83">
        <v>9</v>
      </c>
      <c r="F13" s="83">
        <v>0</v>
      </c>
      <c r="G13" s="83">
        <v>0</v>
      </c>
      <c r="H13" s="83">
        <v>0</v>
      </c>
      <c r="I13" s="83">
        <v>0</v>
      </c>
      <c r="J13" s="88">
        <v>0</v>
      </c>
      <c r="K13" s="88">
        <v>0</v>
      </c>
      <c r="L13" s="88">
        <v>0</v>
      </c>
      <c r="M13" s="88">
        <v>0</v>
      </c>
      <c r="N13" s="88">
        <v>5</v>
      </c>
      <c r="O13" s="88">
        <v>0</v>
      </c>
      <c r="P13" s="88">
        <v>0</v>
      </c>
      <c r="Q13" s="137">
        <v>0</v>
      </c>
      <c r="R13" s="138">
        <v>393</v>
      </c>
    </row>
    <row r="14" spans="1:18" ht="22.5">
      <c r="A14" s="135">
        <v>10</v>
      </c>
      <c r="B14" s="136" t="s">
        <v>494</v>
      </c>
      <c r="C14" s="82">
        <v>175</v>
      </c>
      <c r="D14" s="83">
        <v>202</v>
      </c>
      <c r="E14" s="83">
        <v>9</v>
      </c>
      <c r="F14" s="83">
        <v>0</v>
      </c>
      <c r="G14" s="83">
        <v>0</v>
      </c>
      <c r="H14" s="83">
        <v>0</v>
      </c>
      <c r="I14" s="83">
        <v>0</v>
      </c>
      <c r="J14" s="88">
        <v>0</v>
      </c>
      <c r="K14" s="88">
        <v>0</v>
      </c>
      <c r="L14" s="88">
        <v>0</v>
      </c>
      <c r="M14" s="88">
        <v>0</v>
      </c>
      <c r="N14" s="88">
        <v>5</v>
      </c>
      <c r="O14" s="88">
        <v>0</v>
      </c>
      <c r="P14" s="88">
        <v>0</v>
      </c>
      <c r="Q14" s="137">
        <v>0</v>
      </c>
      <c r="R14" s="138">
        <v>391</v>
      </c>
    </row>
    <row r="15" spans="1:18" ht="22.5">
      <c r="A15" s="135">
        <v>11</v>
      </c>
      <c r="B15" s="136" t="s">
        <v>495</v>
      </c>
      <c r="C15" s="82">
        <v>105</v>
      </c>
      <c r="D15" s="83">
        <v>360</v>
      </c>
      <c r="E15" s="83">
        <v>18</v>
      </c>
      <c r="F15" s="83">
        <v>0</v>
      </c>
      <c r="G15" s="83">
        <v>0</v>
      </c>
      <c r="H15" s="83">
        <v>0</v>
      </c>
      <c r="I15" s="83">
        <v>0</v>
      </c>
      <c r="J15" s="88">
        <v>0</v>
      </c>
      <c r="K15" s="88">
        <v>0</v>
      </c>
      <c r="L15" s="88">
        <v>0</v>
      </c>
      <c r="M15" s="88">
        <v>0</v>
      </c>
      <c r="N15" s="88">
        <v>5</v>
      </c>
      <c r="O15" s="88">
        <v>0</v>
      </c>
      <c r="P15" s="88">
        <v>0</v>
      </c>
      <c r="Q15" s="137">
        <v>0</v>
      </c>
      <c r="R15" s="138">
        <v>488</v>
      </c>
    </row>
    <row r="16" spans="1:18" ht="22.5">
      <c r="A16" s="135">
        <v>12</v>
      </c>
      <c r="B16" s="136" t="s">
        <v>496</v>
      </c>
      <c r="C16" s="82">
        <v>285</v>
      </c>
      <c r="D16" s="83">
        <v>102</v>
      </c>
      <c r="E16" s="83">
        <v>21</v>
      </c>
      <c r="F16" s="83">
        <v>0</v>
      </c>
      <c r="G16" s="83">
        <v>0</v>
      </c>
      <c r="H16" s="83">
        <v>0</v>
      </c>
      <c r="I16" s="83">
        <v>0</v>
      </c>
      <c r="J16" s="88">
        <v>0</v>
      </c>
      <c r="K16" s="88">
        <v>0</v>
      </c>
      <c r="L16" s="88">
        <v>0</v>
      </c>
      <c r="M16" s="88">
        <v>3</v>
      </c>
      <c r="N16" s="88">
        <v>5</v>
      </c>
      <c r="O16" s="88">
        <v>0</v>
      </c>
      <c r="P16" s="88">
        <v>0</v>
      </c>
      <c r="Q16" s="137">
        <v>0</v>
      </c>
      <c r="R16" s="138">
        <v>416</v>
      </c>
    </row>
    <row r="17" spans="1:18" ht="22.5">
      <c r="A17" s="135">
        <v>13</v>
      </c>
      <c r="B17" s="136" t="s">
        <v>497</v>
      </c>
      <c r="C17" s="82">
        <v>215</v>
      </c>
      <c r="D17" s="83">
        <v>160</v>
      </c>
      <c r="E17" s="83">
        <v>9</v>
      </c>
      <c r="F17" s="83">
        <v>0</v>
      </c>
      <c r="G17" s="83">
        <v>0</v>
      </c>
      <c r="H17" s="83">
        <v>0</v>
      </c>
      <c r="I17" s="83">
        <v>0</v>
      </c>
      <c r="J17" s="88">
        <v>0</v>
      </c>
      <c r="K17" s="88">
        <v>0</v>
      </c>
      <c r="L17" s="88">
        <v>0</v>
      </c>
      <c r="M17" s="88">
        <v>0</v>
      </c>
      <c r="N17" s="88">
        <v>5</v>
      </c>
      <c r="O17" s="88">
        <v>0</v>
      </c>
      <c r="P17" s="88">
        <v>0</v>
      </c>
      <c r="Q17" s="137">
        <v>0</v>
      </c>
      <c r="R17" s="138">
        <v>389</v>
      </c>
    </row>
    <row r="18" spans="1:18" ht="33.75">
      <c r="A18" s="135">
        <v>14</v>
      </c>
      <c r="B18" s="136" t="s">
        <v>498</v>
      </c>
      <c r="C18" s="82">
        <v>85</v>
      </c>
      <c r="D18" s="83">
        <v>304</v>
      </c>
      <c r="E18" s="83">
        <v>21</v>
      </c>
      <c r="F18" s="83">
        <v>0</v>
      </c>
      <c r="G18" s="83">
        <v>0</v>
      </c>
      <c r="H18" s="83">
        <v>0</v>
      </c>
      <c r="I18" s="83">
        <v>0</v>
      </c>
      <c r="J18" s="88">
        <v>0</v>
      </c>
      <c r="K18" s="88">
        <v>0</v>
      </c>
      <c r="L18" s="88">
        <v>0</v>
      </c>
      <c r="M18" s="88">
        <v>0</v>
      </c>
      <c r="N18" s="88">
        <v>5</v>
      </c>
      <c r="O18" s="88">
        <v>0</v>
      </c>
      <c r="P18" s="88">
        <v>0</v>
      </c>
      <c r="Q18" s="137">
        <v>0</v>
      </c>
      <c r="R18" s="138">
        <v>415</v>
      </c>
    </row>
    <row r="19" spans="1:18" ht="22.5">
      <c r="A19" s="135">
        <v>15</v>
      </c>
      <c r="B19" s="136" t="s">
        <v>499</v>
      </c>
      <c r="C19" s="82">
        <v>300</v>
      </c>
      <c r="D19" s="83">
        <v>115</v>
      </c>
      <c r="E19" s="83">
        <v>3</v>
      </c>
      <c r="F19" s="83">
        <v>0</v>
      </c>
      <c r="G19" s="83">
        <v>0</v>
      </c>
      <c r="H19" s="83">
        <v>0</v>
      </c>
      <c r="I19" s="83">
        <v>0</v>
      </c>
      <c r="J19" s="88">
        <v>0</v>
      </c>
      <c r="K19" s="88">
        <v>0</v>
      </c>
      <c r="L19" s="88">
        <v>0</v>
      </c>
      <c r="M19" s="88">
        <v>3</v>
      </c>
      <c r="N19" s="88">
        <v>5</v>
      </c>
      <c r="O19" s="88">
        <v>0</v>
      </c>
      <c r="P19" s="88">
        <v>0</v>
      </c>
      <c r="Q19" s="137">
        <v>0</v>
      </c>
      <c r="R19" s="138">
        <v>426</v>
      </c>
    </row>
    <row r="20" spans="1:18" ht="22.5">
      <c r="A20" s="135">
        <v>16</v>
      </c>
      <c r="B20" s="136" t="s">
        <v>500</v>
      </c>
      <c r="C20" s="82">
        <v>200</v>
      </c>
      <c r="D20" s="83">
        <v>296</v>
      </c>
      <c r="E20" s="83">
        <v>21</v>
      </c>
      <c r="F20" s="83">
        <v>0</v>
      </c>
      <c r="G20" s="83">
        <v>0</v>
      </c>
      <c r="H20" s="83">
        <v>0</v>
      </c>
      <c r="I20" s="83">
        <v>0</v>
      </c>
      <c r="J20" s="88">
        <v>0</v>
      </c>
      <c r="K20" s="88">
        <v>0</v>
      </c>
      <c r="L20" s="88">
        <v>0</v>
      </c>
      <c r="M20" s="88">
        <v>0</v>
      </c>
      <c r="N20" s="88">
        <v>5</v>
      </c>
      <c r="O20" s="88">
        <v>0</v>
      </c>
      <c r="P20" s="88">
        <v>0</v>
      </c>
      <c r="Q20" s="137">
        <v>0</v>
      </c>
      <c r="R20" s="138">
        <v>522</v>
      </c>
    </row>
    <row r="21" spans="1:18" ht="22.5">
      <c r="A21" s="135">
        <v>17</v>
      </c>
      <c r="B21" s="136" t="s">
        <v>501</v>
      </c>
      <c r="C21" s="82">
        <v>185</v>
      </c>
      <c r="D21" s="83">
        <v>292</v>
      </c>
      <c r="E21" s="83">
        <v>45</v>
      </c>
      <c r="F21" s="83">
        <v>0</v>
      </c>
      <c r="G21" s="83">
        <v>0</v>
      </c>
      <c r="H21" s="83">
        <v>0</v>
      </c>
      <c r="I21" s="83">
        <v>0</v>
      </c>
      <c r="J21" s="88">
        <v>0</v>
      </c>
      <c r="K21" s="88">
        <v>0</v>
      </c>
      <c r="L21" s="88">
        <v>0</v>
      </c>
      <c r="M21" s="88">
        <v>0</v>
      </c>
      <c r="N21" s="88">
        <v>5</v>
      </c>
      <c r="O21" s="88">
        <v>0</v>
      </c>
      <c r="P21" s="88">
        <v>0</v>
      </c>
      <c r="Q21" s="137">
        <v>0</v>
      </c>
      <c r="R21" s="138">
        <v>527</v>
      </c>
    </row>
    <row r="22" spans="1:18" ht="22.5">
      <c r="A22" s="135">
        <v>18</v>
      </c>
      <c r="B22" s="136" t="s">
        <v>502</v>
      </c>
      <c r="C22" s="82">
        <v>255</v>
      </c>
      <c r="D22" s="83">
        <v>154</v>
      </c>
      <c r="E22" s="83">
        <v>36</v>
      </c>
      <c r="F22" s="83">
        <v>0</v>
      </c>
      <c r="G22" s="83">
        <v>0</v>
      </c>
      <c r="H22" s="83">
        <v>0</v>
      </c>
      <c r="I22" s="83">
        <v>0</v>
      </c>
      <c r="J22" s="88">
        <v>0</v>
      </c>
      <c r="K22" s="88">
        <v>0</v>
      </c>
      <c r="L22" s="88">
        <v>0</v>
      </c>
      <c r="M22" s="88">
        <v>0</v>
      </c>
      <c r="N22" s="88">
        <v>5</v>
      </c>
      <c r="O22" s="88">
        <v>0</v>
      </c>
      <c r="P22" s="88">
        <v>0</v>
      </c>
      <c r="Q22" s="137">
        <v>0</v>
      </c>
      <c r="R22" s="138">
        <v>450</v>
      </c>
    </row>
    <row r="23" spans="1:18" ht="22.5">
      <c r="A23" s="135">
        <v>19</v>
      </c>
      <c r="B23" s="136" t="s">
        <v>503</v>
      </c>
      <c r="C23" s="82">
        <v>275</v>
      </c>
      <c r="D23" s="83">
        <v>204</v>
      </c>
      <c r="E23" s="83">
        <v>30</v>
      </c>
      <c r="F23" s="83">
        <v>0</v>
      </c>
      <c r="G23" s="83">
        <v>0</v>
      </c>
      <c r="H23" s="83">
        <v>0</v>
      </c>
      <c r="I23" s="83">
        <v>0</v>
      </c>
      <c r="J23" s="88">
        <v>0</v>
      </c>
      <c r="K23" s="88">
        <v>0</v>
      </c>
      <c r="L23" s="88">
        <v>0</v>
      </c>
      <c r="M23" s="88">
        <v>0</v>
      </c>
      <c r="N23" s="88">
        <v>5</v>
      </c>
      <c r="O23" s="88">
        <v>0</v>
      </c>
      <c r="P23" s="88">
        <v>0</v>
      </c>
      <c r="Q23" s="137">
        <v>0</v>
      </c>
      <c r="R23" s="138">
        <v>514</v>
      </c>
    </row>
    <row r="24" spans="1:18" ht="22.5">
      <c r="A24" s="135">
        <v>20</v>
      </c>
      <c r="B24" s="136" t="s">
        <v>504</v>
      </c>
      <c r="C24" s="82">
        <v>95</v>
      </c>
      <c r="D24" s="83">
        <v>352</v>
      </c>
      <c r="E24" s="83">
        <v>33</v>
      </c>
      <c r="F24" s="83">
        <v>0</v>
      </c>
      <c r="G24" s="83">
        <v>0</v>
      </c>
      <c r="H24" s="83">
        <v>0</v>
      </c>
      <c r="I24" s="83">
        <v>0</v>
      </c>
      <c r="J24" s="88">
        <v>0</v>
      </c>
      <c r="K24" s="88">
        <v>0</v>
      </c>
      <c r="L24" s="88">
        <v>0</v>
      </c>
      <c r="M24" s="88">
        <v>0</v>
      </c>
      <c r="N24" s="88">
        <v>5</v>
      </c>
      <c r="O24" s="88">
        <v>0</v>
      </c>
      <c r="P24" s="88">
        <v>0</v>
      </c>
      <c r="Q24" s="137">
        <v>0</v>
      </c>
      <c r="R24" s="138">
        <v>485</v>
      </c>
    </row>
    <row r="25" spans="1:18" ht="22.5">
      <c r="A25" s="135">
        <v>21</v>
      </c>
      <c r="B25" s="136" t="s">
        <v>505</v>
      </c>
      <c r="C25" s="90">
        <v>300</v>
      </c>
      <c r="D25" s="91">
        <v>154</v>
      </c>
      <c r="E25" s="83">
        <v>3</v>
      </c>
      <c r="F25" s="83">
        <v>0</v>
      </c>
      <c r="G25" s="83">
        <v>0</v>
      </c>
      <c r="H25" s="83">
        <v>0</v>
      </c>
      <c r="I25" s="83">
        <v>0</v>
      </c>
      <c r="J25" s="88">
        <v>0</v>
      </c>
      <c r="K25" s="88">
        <v>0</v>
      </c>
      <c r="L25" s="88">
        <v>0</v>
      </c>
      <c r="M25" s="88">
        <v>3</v>
      </c>
      <c r="N25" s="88">
        <v>5</v>
      </c>
      <c r="O25" s="88">
        <v>0</v>
      </c>
      <c r="P25" s="88">
        <v>0</v>
      </c>
      <c r="Q25" s="137">
        <v>0</v>
      </c>
      <c r="R25" s="138">
        <v>465</v>
      </c>
    </row>
    <row r="26" spans="1:18" ht="22.5">
      <c r="A26" s="135">
        <v>22</v>
      </c>
      <c r="B26" s="136" t="s">
        <v>506</v>
      </c>
      <c r="C26" s="139">
        <v>345</v>
      </c>
      <c r="D26" s="88">
        <v>94</v>
      </c>
      <c r="E26" s="88">
        <v>6</v>
      </c>
      <c r="F26" s="88">
        <v>0</v>
      </c>
      <c r="G26" s="88">
        <v>0</v>
      </c>
      <c r="H26" s="88">
        <v>0</v>
      </c>
      <c r="I26" s="83">
        <v>0</v>
      </c>
      <c r="J26" s="88">
        <v>0</v>
      </c>
      <c r="K26" s="88">
        <v>0</v>
      </c>
      <c r="L26" s="83">
        <v>0</v>
      </c>
      <c r="M26" s="83">
        <v>0</v>
      </c>
      <c r="N26" s="88">
        <v>5</v>
      </c>
      <c r="O26" s="88">
        <v>0</v>
      </c>
      <c r="P26" s="88">
        <v>0</v>
      </c>
      <c r="Q26" s="137">
        <v>0</v>
      </c>
      <c r="R26" s="138">
        <v>450</v>
      </c>
    </row>
    <row r="27" spans="1:18" ht="22.5">
      <c r="A27" s="135">
        <v>23</v>
      </c>
      <c r="B27" s="136" t="s">
        <v>507</v>
      </c>
      <c r="C27" s="139">
        <v>115</v>
      </c>
      <c r="D27" s="88">
        <v>254</v>
      </c>
      <c r="E27" s="88">
        <v>24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5</v>
      </c>
      <c r="O27" s="88">
        <v>0</v>
      </c>
      <c r="P27" s="88">
        <v>0</v>
      </c>
      <c r="Q27" s="137">
        <v>0</v>
      </c>
      <c r="R27" s="138">
        <v>398</v>
      </c>
    </row>
    <row r="28" spans="1:18" ht="22.5">
      <c r="A28" s="135">
        <v>24</v>
      </c>
      <c r="B28" s="136" t="s">
        <v>508</v>
      </c>
      <c r="C28" s="139">
        <v>295</v>
      </c>
      <c r="D28" s="88">
        <v>164</v>
      </c>
      <c r="E28" s="88">
        <v>9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5</v>
      </c>
      <c r="O28" s="88">
        <v>0</v>
      </c>
      <c r="P28" s="88">
        <v>0</v>
      </c>
      <c r="Q28" s="137">
        <v>0</v>
      </c>
      <c r="R28" s="138">
        <v>473</v>
      </c>
    </row>
    <row r="29" spans="1:18" ht="22.5">
      <c r="A29" s="135">
        <v>25</v>
      </c>
      <c r="B29" s="136" t="s">
        <v>509</v>
      </c>
      <c r="C29" s="139">
        <v>165</v>
      </c>
      <c r="D29" s="88">
        <v>288</v>
      </c>
      <c r="E29" s="88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5</v>
      </c>
      <c r="O29" s="88">
        <v>0</v>
      </c>
      <c r="P29" s="88">
        <v>0</v>
      </c>
      <c r="Q29" s="137">
        <v>0</v>
      </c>
      <c r="R29" s="138">
        <v>479</v>
      </c>
    </row>
    <row r="30" spans="1:18" ht="22.5">
      <c r="A30" s="135">
        <v>26</v>
      </c>
      <c r="B30" s="136" t="s">
        <v>510</v>
      </c>
      <c r="C30" s="139">
        <v>100</v>
      </c>
      <c r="D30" s="88">
        <v>204</v>
      </c>
      <c r="E30" s="88">
        <v>60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5</v>
      </c>
      <c r="O30" s="88">
        <v>0</v>
      </c>
      <c r="P30" s="88">
        <v>0</v>
      </c>
      <c r="Q30" s="137">
        <v>0</v>
      </c>
      <c r="R30" s="138">
        <v>369</v>
      </c>
    </row>
    <row r="31" spans="1:18" ht="23.25" thickBot="1">
      <c r="A31" s="140">
        <v>27</v>
      </c>
      <c r="B31" s="141" t="s">
        <v>511</v>
      </c>
      <c r="C31" s="142">
        <v>290</v>
      </c>
      <c r="D31" s="143">
        <v>116</v>
      </c>
      <c r="E31" s="143">
        <v>9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5</v>
      </c>
      <c r="O31" s="143">
        <v>0</v>
      </c>
      <c r="P31" s="143">
        <v>0</v>
      </c>
      <c r="Q31" s="144">
        <v>0</v>
      </c>
      <c r="R31" s="145">
        <v>420</v>
      </c>
    </row>
  </sheetData>
  <sheetProtection/>
  <mergeCells count="19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S27"/>
    </sheetView>
  </sheetViews>
  <sheetFormatPr defaultColWidth="8.8515625" defaultRowHeight="15"/>
  <sheetData>
    <row r="1" spans="1:19" ht="18.75">
      <c r="A1" s="303" t="s">
        <v>48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v>22420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7" t="s">
        <v>49</v>
      </c>
      <c r="C5" s="26">
        <v>375</v>
      </c>
      <c r="D5" s="26">
        <v>300</v>
      </c>
      <c r="E5" s="26">
        <v>30</v>
      </c>
      <c r="F5" s="26"/>
      <c r="G5" s="28">
        <f aca="true" t="shared" si="0" ref="G5:G27">SUM(C5:F5)</f>
        <v>705</v>
      </c>
      <c r="H5" s="26"/>
      <c r="I5" s="26"/>
      <c r="J5" s="26"/>
      <c r="K5" s="29"/>
      <c r="L5" s="29"/>
      <c r="M5" s="29">
        <v>5</v>
      </c>
      <c r="N5" s="29"/>
      <c r="O5" s="29"/>
      <c r="P5" s="29"/>
      <c r="Q5" s="29"/>
      <c r="R5" s="29"/>
      <c r="S5" s="30">
        <f aca="true" t="shared" si="1" ref="S5:S27">SUM(A5:R5)</f>
        <v>1416</v>
      </c>
    </row>
    <row r="6" spans="1:19" ht="15">
      <c r="A6" s="26">
        <v>2</v>
      </c>
      <c r="B6" s="27" t="s">
        <v>50</v>
      </c>
      <c r="C6" s="26">
        <v>245</v>
      </c>
      <c r="D6" s="26">
        <v>250</v>
      </c>
      <c r="E6" s="26">
        <v>69</v>
      </c>
      <c r="F6" s="26">
        <v>-2</v>
      </c>
      <c r="G6" s="28">
        <f t="shared" si="0"/>
        <v>562</v>
      </c>
      <c r="H6" s="26"/>
      <c r="I6" s="26"/>
      <c r="J6" s="26"/>
      <c r="K6" s="31"/>
      <c r="L6" s="31"/>
      <c r="M6" s="29">
        <v>5</v>
      </c>
      <c r="N6" s="29"/>
      <c r="O6" s="31"/>
      <c r="P6" s="31"/>
      <c r="Q6" s="29"/>
      <c r="R6" s="31"/>
      <c r="S6" s="30">
        <f t="shared" si="1"/>
        <v>1131</v>
      </c>
    </row>
    <row r="7" spans="1:19" ht="15">
      <c r="A7" s="26">
        <v>3</v>
      </c>
      <c r="B7" s="27" t="s">
        <v>51</v>
      </c>
      <c r="C7" s="26">
        <v>350</v>
      </c>
      <c r="D7" s="26">
        <v>320</v>
      </c>
      <c r="E7" s="26">
        <v>45</v>
      </c>
      <c r="F7" s="26"/>
      <c r="G7" s="28">
        <f t="shared" si="0"/>
        <v>715</v>
      </c>
      <c r="H7" s="26"/>
      <c r="I7" s="26"/>
      <c r="J7" s="26"/>
      <c r="K7" s="31"/>
      <c r="L7" s="31"/>
      <c r="M7" s="29">
        <v>5</v>
      </c>
      <c r="N7" s="29"/>
      <c r="O7" s="31"/>
      <c r="P7" s="31"/>
      <c r="Q7" s="29"/>
      <c r="R7" s="31"/>
      <c r="S7" s="30">
        <f t="shared" si="1"/>
        <v>1438</v>
      </c>
    </row>
    <row r="8" spans="1:19" ht="15">
      <c r="A8" s="26">
        <v>4</v>
      </c>
      <c r="B8" s="27" t="s">
        <v>52</v>
      </c>
      <c r="C8" s="26">
        <v>285</v>
      </c>
      <c r="D8" s="26">
        <v>280</v>
      </c>
      <c r="E8" s="26">
        <v>60</v>
      </c>
      <c r="F8" s="26"/>
      <c r="G8" s="28">
        <f t="shared" si="0"/>
        <v>625</v>
      </c>
      <c r="H8" s="26"/>
      <c r="I8" s="26"/>
      <c r="J8" s="26"/>
      <c r="K8" s="31"/>
      <c r="L8" s="31"/>
      <c r="M8" s="29">
        <v>5</v>
      </c>
      <c r="N8" s="29"/>
      <c r="O8" s="31"/>
      <c r="P8" s="31"/>
      <c r="Q8" s="29"/>
      <c r="R8" s="31"/>
      <c r="S8" s="30">
        <f t="shared" si="1"/>
        <v>1259</v>
      </c>
    </row>
    <row r="9" spans="1:19" ht="15">
      <c r="A9" s="26">
        <v>5</v>
      </c>
      <c r="B9" s="27" t="s">
        <v>53</v>
      </c>
      <c r="C9" s="26">
        <v>580</v>
      </c>
      <c r="D9" s="26">
        <v>132</v>
      </c>
      <c r="E9" s="26"/>
      <c r="F9" s="26"/>
      <c r="G9" s="28">
        <f t="shared" si="0"/>
        <v>712</v>
      </c>
      <c r="H9" s="26"/>
      <c r="I9" s="26"/>
      <c r="J9" s="26"/>
      <c r="K9" s="31"/>
      <c r="L9" s="31"/>
      <c r="M9" s="29">
        <v>5</v>
      </c>
      <c r="N9" s="29"/>
      <c r="O9" s="31"/>
      <c r="P9" s="31"/>
      <c r="Q9" s="29"/>
      <c r="R9" s="31"/>
      <c r="S9" s="30">
        <f t="shared" si="1"/>
        <v>1434</v>
      </c>
    </row>
    <row r="10" spans="1:19" ht="15">
      <c r="A10" s="26">
        <v>6</v>
      </c>
      <c r="B10" s="27" t="s">
        <v>54</v>
      </c>
      <c r="C10" s="26">
        <v>615</v>
      </c>
      <c r="D10" s="26">
        <v>119</v>
      </c>
      <c r="E10" s="26"/>
      <c r="F10" s="26"/>
      <c r="G10" s="28">
        <f t="shared" si="0"/>
        <v>734</v>
      </c>
      <c r="H10" s="26"/>
      <c r="I10" s="26"/>
      <c r="J10" s="26"/>
      <c r="K10" s="31"/>
      <c r="L10" s="31"/>
      <c r="M10" s="29">
        <v>5</v>
      </c>
      <c r="N10" s="29"/>
      <c r="O10" s="31"/>
      <c r="P10" s="31"/>
      <c r="Q10" s="29"/>
      <c r="R10" s="31"/>
      <c r="S10" s="30">
        <f t="shared" si="1"/>
        <v>1479</v>
      </c>
    </row>
    <row r="11" spans="1:19" ht="15">
      <c r="A11" s="26">
        <v>7</v>
      </c>
      <c r="B11" s="27" t="s">
        <v>55</v>
      </c>
      <c r="C11" s="26">
        <v>415</v>
      </c>
      <c r="D11" s="26">
        <v>150</v>
      </c>
      <c r="E11" s="26"/>
      <c r="F11" s="26"/>
      <c r="G11" s="28">
        <f t="shared" si="0"/>
        <v>565</v>
      </c>
      <c r="H11" s="26"/>
      <c r="I11" s="26"/>
      <c r="J11" s="26"/>
      <c r="K11" s="31"/>
      <c r="L11" s="31"/>
      <c r="M11" s="29">
        <v>5</v>
      </c>
      <c r="N11" s="29"/>
      <c r="O11" s="31"/>
      <c r="P11" s="31"/>
      <c r="Q11" s="29"/>
      <c r="R11" s="31"/>
      <c r="S11" s="30">
        <f t="shared" si="1"/>
        <v>1142</v>
      </c>
    </row>
    <row r="12" spans="1:19" ht="15">
      <c r="A12" s="26">
        <v>8</v>
      </c>
      <c r="B12" s="27" t="s">
        <v>56</v>
      </c>
      <c r="C12" s="26">
        <v>402</v>
      </c>
      <c r="D12" s="26">
        <v>240</v>
      </c>
      <c r="E12" s="26">
        <v>50</v>
      </c>
      <c r="F12" s="26"/>
      <c r="G12" s="28">
        <f t="shared" si="0"/>
        <v>692</v>
      </c>
      <c r="H12" s="26"/>
      <c r="I12" s="26"/>
      <c r="J12" s="26"/>
      <c r="K12" s="31"/>
      <c r="L12" s="31"/>
      <c r="M12" s="29">
        <v>5</v>
      </c>
      <c r="N12" s="29"/>
      <c r="O12" s="31"/>
      <c r="P12" s="31"/>
      <c r="Q12" s="29"/>
      <c r="R12" s="31"/>
      <c r="S12" s="30">
        <f t="shared" si="1"/>
        <v>1397</v>
      </c>
    </row>
    <row r="13" spans="1:19" ht="15">
      <c r="A13" s="32">
        <v>9</v>
      </c>
      <c r="B13" s="33" t="s">
        <v>57</v>
      </c>
      <c r="C13" s="26">
        <v>390</v>
      </c>
      <c r="D13" s="26">
        <v>260</v>
      </c>
      <c r="E13" s="26">
        <v>30</v>
      </c>
      <c r="F13" s="32"/>
      <c r="G13" s="28">
        <f t="shared" si="0"/>
        <v>680</v>
      </c>
      <c r="H13" s="32"/>
      <c r="I13" s="32"/>
      <c r="J13" s="32"/>
      <c r="K13" s="34"/>
      <c r="L13" s="34"/>
      <c r="M13" s="32">
        <v>5</v>
      </c>
      <c r="N13" s="32">
        <v>3</v>
      </c>
      <c r="O13" s="34"/>
      <c r="P13" s="34"/>
      <c r="Q13" s="32"/>
      <c r="R13" s="34"/>
      <c r="S13" s="30">
        <f t="shared" si="1"/>
        <v>1377</v>
      </c>
    </row>
    <row r="14" spans="1:19" ht="15">
      <c r="A14" s="32">
        <v>10</v>
      </c>
      <c r="B14" s="27" t="s">
        <v>58</v>
      </c>
      <c r="C14" s="26">
        <v>650</v>
      </c>
      <c r="D14" s="26">
        <v>108</v>
      </c>
      <c r="E14" s="26">
        <v>3</v>
      </c>
      <c r="F14" s="32"/>
      <c r="G14" s="28">
        <f t="shared" si="0"/>
        <v>761</v>
      </c>
      <c r="H14" s="32"/>
      <c r="I14" s="32"/>
      <c r="J14" s="32"/>
      <c r="K14" s="34"/>
      <c r="L14" s="34">
        <v>5</v>
      </c>
      <c r="M14" s="32">
        <v>5</v>
      </c>
      <c r="N14" s="32"/>
      <c r="O14" s="34"/>
      <c r="P14" s="34"/>
      <c r="Q14" s="32"/>
      <c r="R14" s="34"/>
      <c r="S14" s="30">
        <f t="shared" si="1"/>
        <v>1542</v>
      </c>
    </row>
    <row r="15" spans="1:19" ht="15">
      <c r="A15" s="26">
        <v>11</v>
      </c>
      <c r="B15" s="27" t="s">
        <v>59</v>
      </c>
      <c r="C15" s="26">
        <v>270</v>
      </c>
      <c r="D15" s="26">
        <v>300</v>
      </c>
      <c r="E15" s="26">
        <v>56</v>
      </c>
      <c r="F15" s="26"/>
      <c r="G15" s="28">
        <f t="shared" si="0"/>
        <v>626</v>
      </c>
      <c r="H15" s="26"/>
      <c r="I15" s="26"/>
      <c r="J15" s="26"/>
      <c r="K15" s="31"/>
      <c r="L15" s="31">
        <v>5</v>
      </c>
      <c r="M15" s="29">
        <v>5</v>
      </c>
      <c r="N15" s="29">
        <v>3</v>
      </c>
      <c r="O15" s="31"/>
      <c r="P15" s="31"/>
      <c r="Q15" s="29"/>
      <c r="R15" s="31"/>
      <c r="S15" s="30">
        <f t="shared" si="1"/>
        <v>1276</v>
      </c>
    </row>
    <row r="16" spans="1:19" ht="15">
      <c r="A16" s="32">
        <v>12</v>
      </c>
      <c r="B16" s="27" t="s">
        <v>60</v>
      </c>
      <c r="C16" s="26">
        <v>264</v>
      </c>
      <c r="D16" s="26">
        <v>328</v>
      </c>
      <c r="E16" s="26">
        <v>60</v>
      </c>
      <c r="F16" s="32"/>
      <c r="G16" s="28">
        <f t="shared" si="0"/>
        <v>652</v>
      </c>
      <c r="H16" s="32"/>
      <c r="I16" s="32"/>
      <c r="J16" s="32"/>
      <c r="K16" s="34"/>
      <c r="L16" s="34">
        <v>5</v>
      </c>
      <c r="M16" s="32">
        <v>5</v>
      </c>
      <c r="N16" s="32"/>
      <c r="O16" s="34"/>
      <c r="P16" s="34"/>
      <c r="Q16" s="32"/>
      <c r="R16" s="34"/>
      <c r="S16" s="30">
        <f t="shared" si="1"/>
        <v>1326</v>
      </c>
    </row>
    <row r="17" spans="1:19" ht="15">
      <c r="A17" s="26">
        <v>13</v>
      </c>
      <c r="B17" s="27" t="s">
        <v>61</v>
      </c>
      <c r="C17" s="26">
        <v>435</v>
      </c>
      <c r="D17" s="26">
        <v>280</v>
      </c>
      <c r="E17" s="26">
        <v>45</v>
      </c>
      <c r="F17" s="26"/>
      <c r="G17" s="28">
        <f t="shared" si="0"/>
        <v>760</v>
      </c>
      <c r="H17" s="26"/>
      <c r="I17" s="26"/>
      <c r="J17" s="26"/>
      <c r="K17" s="31"/>
      <c r="L17" s="31"/>
      <c r="M17" s="29">
        <v>5</v>
      </c>
      <c r="N17" s="29"/>
      <c r="O17" s="31"/>
      <c r="P17" s="31"/>
      <c r="Q17" s="29"/>
      <c r="R17" s="31"/>
      <c r="S17" s="30">
        <f t="shared" si="1"/>
        <v>1538</v>
      </c>
    </row>
    <row r="18" spans="1:19" ht="15">
      <c r="A18" s="26">
        <v>14</v>
      </c>
      <c r="B18" s="27" t="s">
        <v>62</v>
      </c>
      <c r="C18" s="26">
        <v>315</v>
      </c>
      <c r="D18" s="26">
        <v>326</v>
      </c>
      <c r="E18" s="26">
        <v>30</v>
      </c>
      <c r="F18" s="26"/>
      <c r="G18" s="28">
        <f t="shared" si="0"/>
        <v>671</v>
      </c>
      <c r="H18" s="26"/>
      <c r="I18" s="26"/>
      <c r="J18" s="26"/>
      <c r="K18" s="31"/>
      <c r="L18" s="31"/>
      <c r="M18" s="29">
        <v>5</v>
      </c>
      <c r="N18" s="29"/>
      <c r="O18" s="31"/>
      <c r="P18" s="31"/>
      <c r="Q18" s="29"/>
      <c r="R18" s="31"/>
      <c r="S18" s="30">
        <f t="shared" si="1"/>
        <v>1361</v>
      </c>
    </row>
    <row r="19" spans="1:19" ht="15">
      <c r="A19" s="26">
        <v>15</v>
      </c>
      <c r="B19" s="27" t="s">
        <v>63</v>
      </c>
      <c r="C19" s="26">
        <v>660</v>
      </c>
      <c r="D19" s="26">
        <v>80</v>
      </c>
      <c r="E19" s="26"/>
      <c r="F19" s="26"/>
      <c r="G19" s="28">
        <f t="shared" si="0"/>
        <v>740</v>
      </c>
      <c r="H19" s="26"/>
      <c r="I19" s="26"/>
      <c r="J19" s="26"/>
      <c r="K19" s="31"/>
      <c r="L19" s="31"/>
      <c r="M19" s="29">
        <v>5</v>
      </c>
      <c r="N19" s="29"/>
      <c r="O19" s="31"/>
      <c r="P19" s="31"/>
      <c r="Q19" s="29"/>
      <c r="R19" s="31"/>
      <c r="S19" s="30">
        <f t="shared" si="1"/>
        <v>1500</v>
      </c>
    </row>
    <row r="20" spans="1:19" ht="15">
      <c r="A20" s="26">
        <v>16</v>
      </c>
      <c r="B20" s="27" t="s">
        <v>64</v>
      </c>
      <c r="C20" s="26">
        <v>380</v>
      </c>
      <c r="D20" s="26">
        <v>290</v>
      </c>
      <c r="E20" s="26">
        <v>24</v>
      </c>
      <c r="F20" s="26"/>
      <c r="G20" s="28">
        <f t="shared" si="0"/>
        <v>694</v>
      </c>
      <c r="H20" s="26"/>
      <c r="I20" s="26"/>
      <c r="J20" s="26"/>
      <c r="K20" s="31"/>
      <c r="L20" s="31"/>
      <c r="M20" s="29">
        <v>5</v>
      </c>
      <c r="N20" s="29"/>
      <c r="O20" s="31"/>
      <c r="P20" s="31"/>
      <c r="Q20" s="29"/>
      <c r="R20" s="31"/>
      <c r="S20" s="30">
        <f t="shared" si="1"/>
        <v>1409</v>
      </c>
    </row>
    <row r="21" spans="1:19" ht="15">
      <c r="A21" s="26">
        <v>17</v>
      </c>
      <c r="B21" s="27" t="s">
        <v>65</v>
      </c>
      <c r="C21" s="26">
        <v>650</v>
      </c>
      <c r="D21" s="26">
        <v>100</v>
      </c>
      <c r="E21" s="26">
        <v>3</v>
      </c>
      <c r="F21" s="26"/>
      <c r="G21" s="28">
        <f t="shared" si="0"/>
        <v>753</v>
      </c>
      <c r="H21" s="26"/>
      <c r="I21" s="26"/>
      <c r="J21" s="26"/>
      <c r="K21" s="31"/>
      <c r="L21" s="31"/>
      <c r="M21" s="29">
        <v>5</v>
      </c>
      <c r="N21" s="29"/>
      <c r="O21" s="31"/>
      <c r="P21" s="31"/>
      <c r="Q21" s="29"/>
      <c r="R21" s="31"/>
      <c r="S21" s="30">
        <f t="shared" si="1"/>
        <v>1528</v>
      </c>
    </row>
    <row r="22" spans="1:19" ht="15">
      <c r="A22" s="26">
        <v>18</v>
      </c>
      <c r="B22" s="27" t="s">
        <v>66</v>
      </c>
      <c r="C22" s="26">
        <v>580</v>
      </c>
      <c r="D22" s="26">
        <v>150</v>
      </c>
      <c r="E22" s="26"/>
      <c r="F22" s="26"/>
      <c r="G22" s="28">
        <f t="shared" si="0"/>
        <v>730</v>
      </c>
      <c r="H22" s="26"/>
      <c r="I22" s="26"/>
      <c r="J22" s="26"/>
      <c r="K22" s="31"/>
      <c r="L22" s="31"/>
      <c r="M22" s="29">
        <v>5</v>
      </c>
      <c r="N22" s="29"/>
      <c r="O22" s="31"/>
      <c r="P22" s="31"/>
      <c r="Q22" s="29"/>
      <c r="R22" s="31"/>
      <c r="S22" s="30">
        <f t="shared" si="1"/>
        <v>1483</v>
      </c>
    </row>
    <row r="23" spans="1:19" ht="15">
      <c r="A23" s="26">
        <v>19</v>
      </c>
      <c r="B23" s="27" t="s">
        <v>67</v>
      </c>
      <c r="C23" s="26">
        <v>264</v>
      </c>
      <c r="D23" s="26">
        <v>250</v>
      </c>
      <c r="E23" s="26">
        <v>60</v>
      </c>
      <c r="F23" s="26"/>
      <c r="G23" s="28">
        <f t="shared" si="0"/>
        <v>574</v>
      </c>
      <c r="H23" s="26"/>
      <c r="I23" s="26"/>
      <c r="J23" s="26"/>
      <c r="K23" s="31"/>
      <c r="L23" s="31"/>
      <c r="M23" s="29">
        <v>5</v>
      </c>
      <c r="N23" s="29"/>
      <c r="O23" s="31"/>
      <c r="P23" s="31"/>
      <c r="Q23" s="29"/>
      <c r="R23" s="31"/>
      <c r="S23" s="30">
        <f t="shared" si="1"/>
        <v>1172</v>
      </c>
    </row>
    <row r="24" spans="1:19" ht="15">
      <c r="A24" s="26">
        <v>20</v>
      </c>
      <c r="B24" s="27" t="s">
        <v>68</v>
      </c>
      <c r="C24" s="26">
        <v>589</v>
      </c>
      <c r="D24" s="26">
        <v>100</v>
      </c>
      <c r="E24" s="26"/>
      <c r="F24" s="26"/>
      <c r="G24" s="28">
        <f t="shared" si="0"/>
        <v>689</v>
      </c>
      <c r="H24" s="26"/>
      <c r="I24" s="26"/>
      <c r="J24" s="26"/>
      <c r="K24" s="31">
        <v>20</v>
      </c>
      <c r="L24" s="31"/>
      <c r="M24" s="29">
        <v>5</v>
      </c>
      <c r="N24" s="29"/>
      <c r="O24" s="31"/>
      <c r="P24" s="31"/>
      <c r="Q24" s="29"/>
      <c r="R24" s="31"/>
      <c r="S24" s="30">
        <f t="shared" si="1"/>
        <v>1423</v>
      </c>
    </row>
    <row r="25" spans="1:19" ht="15">
      <c r="A25" s="26">
        <v>21</v>
      </c>
      <c r="B25" s="27" t="s">
        <v>69</v>
      </c>
      <c r="C25" s="8">
        <v>450</v>
      </c>
      <c r="D25" s="8">
        <v>240</v>
      </c>
      <c r="E25" s="26">
        <v>21</v>
      </c>
      <c r="F25" s="26"/>
      <c r="G25" s="28">
        <f t="shared" si="0"/>
        <v>711</v>
      </c>
      <c r="H25" s="26"/>
      <c r="I25" s="26"/>
      <c r="J25" s="26"/>
      <c r="K25" s="31"/>
      <c r="L25" s="31"/>
      <c r="M25" s="29">
        <v>5</v>
      </c>
      <c r="N25" s="29"/>
      <c r="O25" s="31"/>
      <c r="P25" s="31"/>
      <c r="Q25" s="29"/>
      <c r="R25" s="31"/>
      <c r="S25" s="30">
        <f t="shared" si="1"/>
        <v>1448</v>
      </c>
    </row>
    <row r="26" spans="1:19" ht="15">
      <c r="A26" s="26">
        <v>22</v>
      </c>
      <c r="B26" s="27" t="s">
        <v>70</v>
      </c>
      <c r="C26" s="8">
        <v>500</v>
      </c>
      <c r="D26" s="8">
        <v>240</v>
      </c>
      <c r="E26" s="26">
        <v>6</v>
      </c>
      <c r="F26" s="26"/>
      <c r="G26" s="28">
        <f t="shared" si="0"/>
        <v>746</v>
      </c>
      <c r="H26" s="26"/>
      <c r="I26" s="26"/>
      <c r="J26" s="26"/>
      <c r="K26" s="31">
        <v>20</v>
      </c>
      <c r="L26" s="31"/>
      <c r="M26" s="29">
        <v>5</v>
      </c>
      <c r="N26" s="29">
        <v>3</v>
      </c>
      <c r="O26" s="31"/>
      <c r="P26" s="31"/>
      <c r="Q26" s="29"/>
      <c r="R26" s="31"/>
      <c r="S26" s="30">
        <f t="shared" si="1"/>
        <v>1542</v>
      </c>
    </row>
    <row r="27" spans="1:19" ht="15">
      <c r="A27" s="26">
        <v>23</v>
      </c>
      <c r="B27" s="27" t="s">
        <v>71</v>
      </c>
      <c r="C27" s="8">
        <v>610</v>
      </c>
      <c r="D27" s="8">
        <v>80</v>
      </c>
      <c r="E27" s="26"/>
      <c r="F27" s="26"/>
      <c r="G27" s="28">
        <f t="shared" si="0"/>
        <v>690</v>
      </c>
      <c r="H27" s="26"/>
      <c r="I27" s="26"/>
      <c r="J27" s="26"/>
      <c r="K27" s="31"/>
      <c r="L27" s="31"/>
      <c r="M27" s="29">
        <v>5</v>
      </c>
      <c r="N27" s="29"/>
      <c r="O27" s="31"/>
      <c r="P27" s="31"/>
      <c r="Q27" s="29"/>
      <c r="R27" s="31"/>
      <c r="S27" s="30">
        <f t="shared" si="1"/>
        <v>1408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28"/>
    </sheetView>
  </sheetViews>
  <sheetFormatPr defaultColWidth="9.140625" defaultRowHeight="15"/>
  <sheetData>
    <row r="1" spans="1:19" ht="18.75">
      <c r="A1" s="303" t="s">
        <v>512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v>14360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79.5" thickBot="1">
      <c r="A5" s="26">
        <v>1</v>
      </c>
      <c r="B5" s="146" t="s">
        <v>513</v>
      </c>
      <c r="C5" s="26">
        <v>700</v>
      </c>
      <c r="D5" s="26"/>
      <c r="E5" s="26"/>
      <c r="F5" s="26"/>
      <c r="G5" s="28">
        <v>700</v>
      </c>
      <c r="H5" s="26"/>
      <c r="I5" s="26">
        <v>10</v>
      </c>
      <c r="J5" s="26"/>
      <c r="K5" s="29"/>
      <c r="L5" s="29"/>
      <c r="M5" s="29"/>
      <c r="N5" s="29">
        <v>5</v>
      </c>
      <c r="O5" s="29"/>
      <c r="P5" s="29"/>
      <c r="Q5" s="29"/>
      <c r="R5" s="29"/>
      <c r="S5" s="30">
        <v>715</v>
      </c>
    </row>
    <row r="6" spans="1:19" ht="79.5" thickBot="1">
      <c r="A6" s="26">
        <v>2</v>
      </c>
      <c r="B6" s="147" t="s">
        <v>514</v>
      </c>
      <c r="C6" s="26">
        <v>50</v>
      </c>
      <c r="D6" s="26">
        <v>260</v>
      </c>
      <c r="E6" s="26">
        <v>120</v>
      </c>
      <c r="F6" s="26"/>
      <c r="G6" s="28">
        <v>430</v>
      </c>
      <c r="H6" s="26"/>
      <c r="I6" s="26">
        <v>10</v>
      </c>
      <c r="J6" s="26"/>
      <c r="K6" s="31"/>
      <c r="L6" s="31"/>
      <c r="M6" s="29"/>
      <c r="N6" s="29"/>
      <c r="O6" s="31"/>
      <c r="P6" s="31"/>
      <c r="Q6" s="29"/>
      <c r="R6" s="31"/>
      <c r="S6" s="30">
        <v>440</v>
      </c>
    </row>
    <row r="7" spans="1:19" ht="79.5" thickBot="1">
      <c r="A7" s="26">
        <v>3</v>
      </c>
      <c r="B7" s="147" t="s">
        <v>515</v>
      </c>
      <c r="C7" s="26">
        <v>425</v>
      </c>
      <c r="D7" s="26">
        <v>210</v>
      </c>
      <c r="E7" s="26"/>
      <c r="F7" s="26"/>
      <c r="G7" s="28">
        <v>635</v>
      </c>
      <c r="H7" s="26"/>
      <c r="I7" s="26">
        <v>10</v>
      </c>
      <c r="J7" s="26"/>
      <c r="K7" s="31"/>
      <c r="L7" s="31"/>
      <c r="M7" s="29"/>
      <c r="N7" s="29"/>
      <c r="O7" s="31"/>
      <c r="P7" s="31"/>
      <c r="Q7" s="29"/>
      <c r="R7" s="31"/>
      <c r="S7" s="30">
        <v>645</v>
      </c>
    </row>
    <row r="8" spans="1:19" ht="79.5" thickBot="1">
      <c r="A8" s="26">
        <v>4</v>
      </c>
      <c r="B8" s="147" t="s">
        <v>516</v>
      </c>
      <c r="C8" s="26">
        <v>175</v>
      </c>
      <c r="D8" s="26">
        <v>380</v>
      </c>
      <c r="E8" s="26">
        <v>21</v>
      </c>
      <c r="F8" s="26"/>
      <c r="G8" s="28">
        <v>576</v>
      </c>
      <c r="H8" s="26"/>
      <c r="I8" s="26">
        <v>10</v>
      </c>
      <c r="J8" s="26"/>
      <c r="K8" s="31"/>
      <c r="L8" s="31"/>
      <c r="M8" s="29"/>
      <c r="N8" s="29"/>
      <c r="O8" s="31"/>
      <c r="P8" s="31"/>
      <c r="Q8" s="29"/>
      <c r="R8" s="31"/>
      <c r="S8" s="30">
        <v>586</v>
      </c>
    </row>
    <row r="9" spans="1:19" ht="79.5" thickBot="1">
      <c r="A9" s="26">
        <v>5</v>
      </c>
      <c r="B9" s="147" t="s">
        <v>517</v>
      </c>
      <c r="C9" s="26">
        <v>245</v>
      </c>
      <c r="D9" s="26">
        <v>364</v>
      </c>
      <c r="E9" s="26"/>
      <c r="F9" s="26"/>
      <c r="G9" s="28">
        <v>609</v>
      </c>
      <c r="H9" s="26"/>
      <c r="I9" s="26">
        <v>10</v>
      </c>
      <c r="J9" s="26"/>
      <c r="K9" s="31"/>
      <c r="L9" s="31"/>
      <c r="M9" s="29"/>
      <c r="N9" s="29"/>
      <c r="O9" s="31"/>
      <c r="P9" s="31"/>
      <c r="Q9" s="29"/>
      <c r="R9" s="31"/>
      <c r="S9" s="30">
        <v>619</v>
      </c>
    </row>
    <row r="10" spans="1:19" ht="79.5" thickBot="1">
      <c r="A10" s="26">
        <v>6</v>
      </c>
      <c r="B10" s="147" t="s">
        <v>518</v>
      </c>
      <c r="C10" s="26">
        <v>315</v>
      </c>
      <c r="D10" s="26">
        <v>308</v>
      </c>
      <c r="E10" s="26"/>
      <c r="F10" s="26"/>
      <c r="G10" s="28">
        <v>623</v>
      </c>
      <c r="H10" s="26"/>
      <c r="I10" s="26">
        <v>10</v>
      </c>
      <c r="J10" s="26"/>
      <c r="K10" s="31"/>
      <c r="L10" s="31"/>
      <c r="M10" s="29"/>
      <c r="N10" s="29"/>
      <c r="O10" s="31"/>
      <c r="P10" s="31"/>
      <c r="Q10" s="29"/>
      <c r="R10" s="31"/>
      <c r="S10" s="30">
        <v>633</v>
      </c>
    </row>
    <row r="11" spans="1:19" ht="48" thickBot="1">
      <c r="A11" s="26">
        <v>7</v>
      </c>
      <c r="B11" s="147" t="s">
        <v>519</v>
      </c>
      <c r="C11" s="26">
        <v>25</v>
      </c>
      <c r="D11" s="26">
        <v>540</v>
      </c>
      <c r="E11" s="26"/>
      <c r="F11" s="26"/>
      <c r="G11" s="28">
        <v>565</v>
      </c>
      <c r="H11" s="26"/>
      <c r="I11" s="26">
        <v>10</v>
      </c>
      <c r="J11" s="26"/>
      <c r="K11" s="31"/>
      <c r="L11" s="31"/>
      <c r="M11" s="29"/>
      <c r="N11" s="29">
        <v>5</v>
      </c>
      <c r="O11" s="31"/>
      <c r="P11" s="31"/>
      <c r="Q11" s="29"/>
      <c r="R11" s="31"/>
      <c r="S11" s="30">
        <v>675</v>
      </c>
    </row>
    <row r="12" spans="1:19" ht="79.5" thickBot="1">
      <c r="A12" s="32">
        <v>9</v>
      </c>
      <c r="B12" s="147" t="s">
        <v>520</v>
      </c>
      <c r="C12" s="26">
        <v>50</v>
      </c>
      <c r="D12" s="26">
        <v>520</v>
      </c>
      <c r="E12" s="26"/>
      <c r="F12" s="32"/>
      <c r="G12" s="28">
        <v>570</v>
      </c>
      <c r="H12" s="32"/>
      <c r="I12" s="32">
        <v>10</v>
      </c>
      <c r="J12" s="32"/>
      <c r="K12" s="34"/>
      <c r="L12" s="34"/>
      <c r="M12" s="32"/>
      <c r="N12" s="32">
        <v>5</v>
      </c>
      <c r="O12" s="34"/>
      <c r="P12" s="34"/>
      <c r="Q12" s="32"/>
      <c r="R12" s="34"/>
      <c r="S12" s="30">
        <v>585</v>
      </c>
    </row>
    <row r="13" spans="1:19" ht="63.75" thickBot="1">
      <c r="A13" s="32">
        <v>10</v>
      </c>
      <c r="B13" s="147" t="s">
        <v>521</v>
      </c>
      <c r="C13" s="26">
        <v>700</v>
      </c>
      <c r="D13" s="26"/>
      <c r="E13" s="26"/>
      <c r="F13" s="32"/>
      <c r="G13" s="28">
        <v>700</v>
      </c>
      <c r="H13" s="32"/>
      <c r="I13" s="32">
        <v>10</v>
      </c>
      <c r="J13" s="32"/>
      <c r="K13" s="34"/>
      <c r="L13" s="34"/>
      <c r="M13" s="32"/>
      <c r="N13" s="32">
        <v>5</v>
      </c>
      <c r="O13" s="34"/>
      <c r="P13" s="34"/>
      <c r="Q13" s="32"/>
      <c r="R13" s="34"/>
      <c r="S13" s="30">
        <v>715</v>
      </c>
    </row>
    <row r="14" spans="1:19" ht="95.25" thickBot="1">
      <c r="A14" s="26">
        <v>11</v>
      </c>
      <c r="B14" s="147" t="s">
        <v>522</v>
      </c>
      <c r="C14" s="26">
        <v>50</v>
      </c>
      <c r="D14" s="26">
        <v>508</v>
      </c>
      <c r="E14" s="26">
        <v>30</v>
      </c>
      <c r="F14" s="26"/>
      <c r="G14" s="28">
        <v>588</v>
      </c>
      <c r="H14" s="26"/>
      <c r="I14" s="26">
        <v>10</v>
      </c>
      <c r="J14" s="26"/>
      <c r="K14" s="31"/>
      <c r="L14" s="31"/>
      <c r="M14" s="29"/>
      <c r="N14" s="29">
        <v>5</v>
      </c>
      <c r="O14" s="31"/>
      <c r="P14" s="31"/>
      <c r="Q14" s="29"/>
      <c r="R14" s="31"/>
      <c r="S14" s="30">
        <v>603</v>
      </c>
    </row>
    <row r="15" spans="1:19" ht="63.75" thickBot="1">
      <c r="A15" s="32">
        <v>12</v>
      </c>
      <c r="B15" s="147" t="s">
        <v>523</v>
      </c>
      <c r="C15" s="26"/>
      <c r="D15" s="26">
        <v>220</v>
      </c>
      <c r="E15" s="26"/>
      <c r="F15" s="32"/>
      <c r="G15" s="28">
        <v>220</v>
      </c>
      <c r="H15" s="32"/>
      <c r="I15" s="32">
        <v>10</v>
      </c>
      <c r="J15" s="32"/>
      <c r="K15" s="34"/>
      <c r="L15" s="34"/>
      <c r="M15" s="32"/>
      <c r="N15" s="32"/>
      <c r="O15" s="34"/>
      <c r="P15" s="34"/>
      <c r="Q15" s="32"/>
      <c r="R15" s="34"/>
      <c r="S15" s="30">
        <v>230</v>
      </c>
    </row>
    <row r="16" spans="1:19" ht="95.25" thickBot="1">
      <c r="A16" s="26">
        <v>13</v>
      </c>
      <c r="B16" s="147" t="s">
        <v>524</v>
      </c>
      <c r="C16" s="26"/>
      <c r="D16" s="26">
        <v>355</v>
      </c>
      <c r="E16" s="26">
        <v>261</v>
      </c>
      <c r="F16" s="26"/>
      <c r="G16" s="28">
        <v>616</v>
      </c>
      <c r="H16" s="26"/>
      <c r="I16" s="26">
        <v>10</v>
      </c>
      <c r="J16" s="26"/>
      <c r="K16" s="31"/>
      <c r="L16" s="31"/>
      <c r="M16" s="29"/>
      <c r="N16" s="29"/>
      <c r="O16" s="31"/>
      <c r="P16" s="31"/>
      <c r="Q16" s="29"/>
      <c r="R16" s="31"/>
      <c r="S16" s="30">
        <v>626</v>
      </c>
    </row>
    <row r="17" spans="1:19" ht="79.5" thickBot="1">
      <c r="A17" s="26">
        <v>14</v>
      </c>
      <c r="B17" s="147" t="s">
        <v>525</v>
      </c>
      <c r="C17" s="26">
        <v>125</v>
      </c>
      <c r="D17" s="26">
        <v>218</v>
      </c>
      <c r="E17" s="26">
        <v>181</v>
      </c>
      <c r="F17" s="26"/>
      <c r="G17" s="28">
        <v>524</v>
      </c>
      <c r="H17" s="26"/>
      <c r="I17" s="26">
        <v>10</v>
      </c>
      <c r="J17" s="26"/>
      <c r="K17" s="31"/>
      <c r="L17" s="31"/>
      <c r="M17" s="29"/>
      <c r="N17" s="29"/>
      <c r="O17" s="31"/>
      <c r="P17" s="31"/>
      <c r="Q17" s="29"/>
      <c r="R17" s="31"/>
      <c r="S17" s="30">
        <v>534</v>
      </c>
    </row>
    <row r="18" spans="1:19" ht="79.5" thickBot="1">
      <c r="A18" s="26">
        <v>15</v>
      </c>
      <c r="B18" s="147" t="s">
        <v>526</v>
      </c>
      <c r="C18" s="26">
        <v>200</v>
      </c>
      <c r="D18" s="26">
        <v>476</v>
      </c>
      <c r="E18" s="26"/>
      <c r="F18" s="26"/>
      <c r="G18" s="28">
        <v>676</v>
      </c>
      <c r="H18" s="26"/>
      <c r="I18" s="26">
        <v>10</v>
      </c>
      <c r="J18" s="26"/>
      <c r="K18" s="31"/>
      <c r="L18" s="31"/>
      <c r="M18" s="29"/>
      <c r="N18" s="29"/>
      <c r="O18" s="31"/>
      <c r="P18" s="31"/>
      <c r="Q18" s="29"/>
      <c r="R18" s="31"/>
      <c r="S18" s="30">
        <v>686</v>
      </c>
    </row>
    <row r="19" spans="1:19" ht="79.5" thickBot="1">
      <c r="A19" s="26">
        <v>16</v>
      </c>
      <c r="B19" s="147" t="s">
        <v>527</v>
      </c>
      <c r="C19" s="26">
        <v>50</v>
      </c>
      <c r="D19" s="26">
        <v>532</v>
      </c>
      <c r="E19" s="26">
        <v>93</v>
      </c>
      <c r="F19" s="26"/>
      <c r="G19" s="28">
        <v>675</v>
      </c>
      <c r="H19" s="26"/>
      <c r="I19" s="26">
        <v>10</v>
      </c>
      <c r="J19" s="26"/>
      <c r="K19" s="31"/>
      <c r="L19" s="31"/>
      <c r="M19" s="29"/>
      <c r="N19" s="29"/>
      <c r="O19" s="31"/>
      <c r="P19" s="31"/>
      <c r="Q19" s="29"/>
      <c r="R19" s="31"/>
      <c r="S19" s="30">
        <v>685</v>
      </c>
    </row>
    <row r="20" spans="1:19" ht="79.5" thickBot="1">
      <c r="A20" s="26">
        <v>17</v>
      </c>
      <c r="B20" s="147" t="s">
        <v>528</v>
      </c>
      <c r="C20" s="26"/>
      <c r="D20" s="26">
        <v>360</v>
      </c>
      <c r="E20" s="26">
        <v>150</v>
      </c>
      <c r="F20" s="26"/>
      <c r="G20" s="28">
        <v>510</v>
      </c>
      <c r="H20" s="26"/>
      <c r="I20" s="26">
        <v>10</v>
      </c>
      <c r="J20" s="26"/>
      <c r="K20" s="31"/>
      <c r="L20" s="31"/>
      <c r="M20" s="29"/>
      <c r="N20" s="29"/>
      <c r="O20" s="31"/>
      <c r="P20" s="31"/>
      <c r="Q20" s="29"/>
      <c r="R20" s="31"/>
      <c r="S20" s="30">
        <v>520</v>
      </c>
    </row>
    <row r="21" spans="1:19" ht="79.5" thickBot="1">
      <c r="A21" s="26">
        <v>18</v>
      </c>
      <c r="B21" s="147" t="s">
        <v>529</v>
      </c>
      <c r="C21" s="26">
        <v>450</v>
      </c>
      <c r="D21" s="26">
        <v>200</v>
      </c>
      <c r="E21" s="26"/>
      <c r="F21" s="26"/>
      <c r="G21" s="28">
        <v>650</v>
      </c>
      <c r="H21" s="26"/>
      <c r="I21" s="26">
        <v>10</v>
      </c>
      <c r="J21" s="26"/>
      <c r="K21" s="31"/>
      <c r="L21" s="31"/>
      <c r="M21" s="29"/>
      <c r="N21" s="29">
        <v>5</v>
      </c>
      <c r="O21" s="31"/>
      <c r="P21" s="31"/>
      <c r="Q21" s="29"/>
      <c r="R21" s="31"/>
      <c r="S21" s="30">
        <v>660</v>
      </c>
    </row>
    <row r="22" spans="1:19" ht="63.75" thickBot="1">
      <c r="A22" s="26">
        <v>19</v>
      </c>
      <c r="B22" s="147" t="s">
        <v>530</v>
      </c>
      <c r="C22" s="26">
        <v>190</v>
      </c>
      <c r="D22" s="26">
        <v>380</v>
      </c>
      <c r="E22" s="26"/>
      <c r="F22" s="26"/>
      <c r="G22" s="28">
        <v>570</v>
      </c>
      <c r="H22" s="26"/>
      <c r="I22" s="26">
        <v>10</v>
      </c>
      <c r="J22" s="26"/>
      <c r="K22" s="31"/>
      <c r="L22" s="31"/>
      <c r="M22" s="29"/>
      <c r="N22" s="29"/>
      <c r="O22" s="31"/>
      <c r="P22" s="31"/>
      <c r="Q22" s="29"/>
      <c r="R22" s="31"/>
      <c r="S22" s="30">
        <v>580</v>
      </c>
    </row>
    <row r="23" spans="1:19" ht="95.25" thickBot="1">
      <c r="A23" s="26">
        <v>20</v>
      </c>
      <c r="B23" s="147" t="s">
        <v>531</v>
      </c>
      <c r="C23" s="26">
        <v>50</v>
      </c>
      <c r="D23" s="26">
        <v>492</v>
      </c>
      <c r="E23" s="26">
        <v>45</v>
      </c>
      <c r="F23" s="26"/>
      <c r="G23" s="28">
        <v>587</v>
      </c>
      <c r="H23" s="26"/>
      <c r="I23" s="26">
        <v>10</v>
      </c>
      <c r="J23" s="26"/>
      <c r="K23" s="31"/>
      <c r="L23" s="31"/>
      <c r="M23" s="29"/>
      <c r="N23" s="29"/>
      <c r="O23" s="31"/>
      <c r="P23" s="31"/>
      <c r="Q23" s="29"/>
      <c r="R23" s="31"/>
      <c r="S23" s="30">
        <v>597</v>
      </c>
    </row>
    <row r="24" spans="1:19" ht="48" thickBot="1">
      <c r="A24" s="26">
        <v>21</v>
      </c>
      <c r="B24" s="147" t="s">
        <v>532</v>
      </c>
      <c r="C24" s="8">
        <v>150</v>
      </c>
      <c r="D24" s="8">
        <v>320</v>
      </c>
      <c r="E24" s="26">
        <v>81</v>
      </c>
      <c r="F24" s="26"/>
      <c r="G24" s="28">
        <v>551</v>
      </c>
      <c r="H24" s="26"/>
      <c r="I24" s="26">
        <v>10</v>
      </c>
      <c r="J24" s="26"/>
      <c r="K24" s="31"/>
      <c r="L24" s="31"/>
      <c r="M24" s="29"/>
      <c r="N24" s="29">
        <v>5</v>
      </c>
      <c r="O24" s="31"/>
      <c r="P24" s="31"/>
      <c r="Q24" s="29"/>
      <c r="R24" s="31"/>
      <c r="S24" s="30">
        <v>566</v>
      </c>
    </row>
    <row r="25" spans="1:19" ht="95.25" thickBot="1">
      <c r="A25" s="26">
        <v>22</v>
      </c>
      <c r="B25" s="147" t="s">
        <v>533</v>
      </c>
      <c r="C25" s="8">
        <v>245</v>
      </c>
      <c r="D25" s="8">
        <v>360</v>
      </c>
      <c r="E25" s="26">
        <v>70</v>
      </c>
      <c r="F25" s="26"/>
      <c r="G25" s="28">
        <v>675</v>
      </c>
      <c r="H25" s="26"/>
      <c r="I25" s="26">
        <v>10</v>
      </c>
      <c r="J25" s="26"/>
      <c r="K25" s="31"/>
      <c r="L25" s="31"/>
      <c r="M25" s="29"/>
      <c r="N25" s="29"/>
      <c r="O25" s="31"/>
      <c r="P25" s="31"/>
      <c r="Q25" s="29"/>
      <c r="R25" s="31"/>
      <c r="S25" s="30">
        <v>685</v>
      </c>
    </row>
    <row r="26" spans="1:19" ht="79.5" thickBot="1">
      <c r="A26" s="26">
        <v>23</v>
      </c>
      <c r="B26" s="147" t="s">
        <v>534</v>
      </c>
      <c r="C26" s="8">
        <v>100</v>
      </c>
      <c r="D26" s="8">
        <v>480</v>
      </c>
      <c r="E26" s="26"/>
      <c r="F26" s="26"/>
      <c r="G26" s="28">
        <v>580</v>
      </c>
      <c r="H26" s="26"/>
      <c r="I26" s="26">
        <v>10</v>
      </c>
      <c r="J26" s="26"/>
      <c r="K26" s="31"/>
      <c r="L26" s="31"/>
      <c r="M26" s="29"/>
      <c r="N26" s="29"/>
      <c r="O26" s="31"/>
      <c r="P26" s="31"/>
      <c r="Q26" s="29"/>
      <c r="R26" s="31"/>
      <c r="S26" s="30">
        <v>590</v>
      </c>
    </row>
    <row r="27" spans="1:19" ht="79.5" thickBot="1">
      <c r="A27" s="26">
        <v>24</v>
      </c>
      <c r="B27" s="147" t="s">
        <v>535</v>
      </c>
      <c r="C27" s="8">
        <v>290</v>
      </c>
      <c r="D27" s="8">
        <v>328</v>
      </c>
      <c r="E27" s="26"/>
      <c r="F27" s="26"/>
      <c r="G27" s="28">
        <v>618</v>
      </c>
      <c r="H27" s="26"/>
      <c r="I27" s="26">
        <v>10</v>
      </c>
      <c r="J27" s="26"/>
      <c r="K27" s="31"/>
      <c r="L27" s="31"/>
      <c r="M27" s="29"/>
      <c r="N27" s="29">
        <v>5</v>
      </c>
      <c r="O27" s="31"/>
      <c r="P27" s="31"/>
      <c r="Q27" s="29"/>
      <c r="R27" s="31"/>
      <c r="S27" s="30">
        <v>633</v>
      </c>
    </row>
    <row r="28" spans="1:19" ht="79.5" thickBot="1">
      <c r="A28" s="26">
        <v>25</v>
      </c>
      <c r="B28" s="147" t="s">
        <v>536</v>
      </c>
      <c r="C28" s="8">
        <v>50</v>
      </c>
      <c r="D28" s="8">
        <v>372</v>
      </c>
      <c r="E28" s="26">
        <v>120</v>
      </c>
      <c r="F28" s="26"/>
      <c r="G28" s="28">
        <v>542</v>
      </c>
      <c r="H28" s="26"/>
      <c r="I28" s="26">
        <v>10</v>
      </c>
      <c r="J28" s="26"/>
      <c r="K28" s="31"/>
      <c r="L28" s="31"/>
      <c r="M28" s="29"/>
      <c r="N28" s="29"/>
      <c r="O28" s="31"/>
      <c r="P28" s="31"/>
      <c r="Q28" s="29"/>
      <c r="R28" s="31"/>
      <c r="S28" s="30">
        <v>552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:S22"/>
    </sheetView>
  </sheetViews>
  <sheetFormatPr defaultColWidth="9.140625" defaultRowHeight="15"/>
  <sheetData>
    <row r="1" spans="1:19" ht="18.75">
      <c r="A1" s="303" t="s">
        <v>537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5">
      <c r="A2" s="148"/>
      <c r="B2" s="148"/>
      <c r="C2" s="148"/>
      <c r="D2" s="148"/>
      <c r="E2" s="148"/>
      <c r="F2" s="148"/>
      <c r="G2" s="149"/>
      <c r="H2" s="3"/>
      <c r="I2" s="3"/>
      <c r="J2" s="3"/>
      <c r="K2" s="3"/>
      <c r="L2" s="3"/>
      <c r="M2" s="3"/>
      <c r="N2" s="3"/>
      <c r="O2" s="3"/>
      <c r="P2" s="150" t="s">
        <v>0</v>
      </c>
      <c r="Q2" s="150"/>
      <c r="R2" s="150"/>
      <c r="S2" s="150">
        <f>SUM(S5:S34)</f>
        <v>12817</v>
      </c>
    </row>
    <row r="3" spans="1:19" ht="76.5">
      <c r="A3" s="352" t="s">
        <v>1</v>
      </c>
      <c r="B3" s="352" t="s">
        <v>2</v>
      </c>
      <c r="C3" s="353" t="s">
        <v>7</v>
      </c>
      <c r="D3" s="353" t="s">
        <v>8</v>
      </c>
      <c r="E3" s="353" t="s">
        <v>9</v>
      </c>
      <c r="F3" s="353" t="s">
        <v>10</v>
      </c>
      <c r="G3" s="301" t="s">
        <v>19</v>
      </c>
      <c r="H3" s="353" t="s">
        <v>11</v>
      </c>
      <c r="I3" s="353" t="s">
        <v>4</v>
      </c>
      <c r="J3" s="353" t="s">
        <v>12</v>
      </c>
      <c r="K3" s="353" t="s">
        <v>13</v>
      </c>
      <c r="L3" s="353" t="s">
        <v>14</v>
      </c>
      <c r="M3" s="353" t="s">
        <v>15</v>
      </c>
      <c r="N3" s="353" t="s">
        <v>16</v>
      </c>
      <c r="O3" s="353" t="s">
        <v>17</v>
      </c>
      <c r="P3" s="353" t="s">
        <v>5</v>
      </c>
      <c r="Q3" s="151" t="s">
        <v>18</v>
      </c>
      <c r="R3" s="353" t="s">
        <v>6</v>
      </c>
      <c r="S3" s="297" t="s">
        <v>3</v>
      </c>
    </row>
    <row r="4" spans="1:19" ht="15.75" thickBot="1">
      <c r="A4" s="352"/>
      <c r="B4" s="352"/>
      <c r="C4" s="299"/>
      <c r="D4" s="299"/>
      <c r="E4" s="299"/>
      <c r="F4" s="299"/>
      <c r="G4" s="302"/>
      <c r="H4" s="299"/>
      <c r="I4" s="299"/>
      <c r="J4" s="299"/>
      <c r="K4" s="299"/>
      <c r="L4" s="299"/>
      <c r="M4" s="299"/>
      <c r="N4" s="299"/>
      <c r="O4" s="299"/>
      <c r="P4" s="299"/>
      <c r="Q4" s="10"/>
      <c r="R4" s="299"/>
      <c r="S4" s="297"/>
    </row>
    <row r="5" spans="1:19" ht="64.5" thickBot="1">
      <c r="A5" s="8">
        <v>1</v>
      </c>
      <c r="B5" s="152" t="s">
        <v>538</v>
      </c>
      <c r="C5" s="8">
        <v>580</v>
      </c>
      <c r="D5" s="8">
        <v>204</v>
      </c>
      <c r="E5" s="8">
        <v>45</v>
      </c>
      <c r="F5" s="8">
        <v>0</v>
      </c>
      <c r="G5" s="153">
        <v>829</v>
      </c>
      <c r="H5" s="8">
        <v>0</v>
      </c>
      <c r="I5" s="8">
        <v>0</v>
      </c>
      <c r="J5" s="8">
        <v>0</v>
      </c>
      <c r="K5" s="154">
        <v>10</v>
      </c>
      <c r="L5" s="8">
        <v>0</v>
      </c>
      <c r="M5" s="154">
        <v>5</v>
      </c>
      <c r="N5" s="8">
        <v>0</v>
      </c>
      <c r="O5" s="8">
        <v>0</v>
      </c>
      <c r="P5" s="8">
        <v>0</v>
      </c>
      <c r="Q5" s="154">
        <v>5</v>
      </c>
      <c r="R5" s="8">
        <v>0</v>
      </c>
      <c r="S5" s="14">
        <v>849</v>
      </c>
    </row>
    <row r="6" spans="1:19" ht="39" thickBot="1">
      <c r="A6" s="8">
        <v>2</v>
      </c>
      <c r="B6" s="155" t="s">
        <v>539</v>
      </c>
      <c r="C6" s="8">
        <v>200</v>
      </c>
      <c r="D6" s="8">
        <v>372</v>
      </c>
      <c r="E6" s="8">
        <v>54</v>
      </c>
      <c r="F6" s="8">
        <v>0</v>
      </c>
      <c r="G6" s="153">
        <v>626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54">
        <v>5</v>
      </c>
      <c r="N6" s="8">
        <v>0</v>
      </c>
      <c r="O6" s="8">
        <v>0</v>
      </c>
      <c r="P6" s="8">
        <v>0</v>
      </c>
      <c r="Q6" s="154">
        <v>5</v>
      </c>
      <c r="R6" s="8">
        <v>0</v>
      </c>
      <c r="S6" s="14">
        <v>636</v>
      </c>
    </row>
    <row r="7" spans="1:19" ht="77.25" thickBot="1">
      <c r="A7" s="8">
        <v>3</v>
      </c>
      <c r="B7" s="155" t="s">
        <v>540</v>
      </c>
      <c r="C7" s="8">
        <v>130</v>
      </c>
      <c r="D7" s="8">
        <v>440</v>
      </c>
      <c r="E7" s="8">
        <v>129</v>
      </c>
      <c r="F7" s="8">
        <v>0</v>
      </c>
      <c r="G7" s="153">
        <v>699</v>
      </c>
      <c r="H7" s="8">
        <v>-15</v>
      </c>
      <c r="I7" s="8">
        <v>0</v>
      </c>
      <c r="J7" s="8">
        <v>0</v>
      </c>
      <c r="K7" s="8">
        <v>0</v>
      </c>
      <c r="L7" s="8">
        <v>0</v>
      </c>
      <c r="M7" s="154">
        <v>5</v>
      </c>
      <c r="N7" s="8">
        <v>0</v>
      </c>
      <c r="O7" s="8">
        <v>0</v>
      </c>
      <c r="P7" s="8">
        <v>0</v>
      </c>
      <c r="Q7" s="154">
        <v>5</v>
      </c>
      <c r="R7" s="8">
        <v>0</v>
      </c>
      <c r="S7" s="14">
        <v>694</v>
      </c>
    </row>
    <row r="8" spans="1:19" ht="39" thickBot="1">
      <c r="A8" s="8">
        <v>4</v>
      </c>
      <c r="B8" s="155" t="s">
        <v>541</v>
      </c>
      <c r="C8" s="8">
        <v>595</v>
      </c>
      <c r="D8" s="8">
        <v>232</v>
      </c>
      <c r="E8" s="8">
        <v>15</v>
      </c>
      <c r="F8" s="8">
        <v>0</v>
      </c>
      <c r="G8" s="153">
        <v>842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54">
        <v>5</v>
      </c>
      <c r="N8" s="154">
        <v>3</v>
      </c>
      <c r="O8" s="8">
        <v>0</v>
      </c>
      <c r="P8" s="8">
        <v>0</v>
      </c>
      <c r="Q8" s="154">
        <v>5</v>
      </c>
      <c r="R8" s="8">
        <v>0</v>
      </c>
      <c r="S8" s="14">
        <v>855</v>
      </c>
    </row>
    <row r="9" spans="1:19" ht="51.75" thickBot="1">
      <c r="A9" s="8">
        <v>5</v>
      </c>
      <c r="B9" s="155" t="s">
        <v>542</v>
      </c>
      <c r="C9" s="8">
        <v>10</v>
      </c>
      <c r="D9" s="8">
        <v>212</v>
      </c>
      <c r="E9" s="8">
        <v>102</v>
      </c>
      <c r="F9" s="8">
        <v>0</v>
      </c>
      <c r="G9" s="153">
        <v>324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54">
        <v>5</v>
      </c>
      <c r="N9" s="8">
        <v>0</v>
      </c>
      <c r="O9" s="8">
        <v>0</v>
      </c>
      <c r="P9" s="8">
        <v>0</v>
      </c>
      <c r="Q9" s="154">
        <v>5</v>
      </c>
      <c r="R9" s="8">
        <v>0</v>
      </c>
      <c r="S9" s="14">
        <v>334</v>
      </c>
    </row>
    <row r="10" spans="1:19" ht="51.75" thickBot="1">
      <c r="A10" s="8">
        <v>6</v>
      </c>
      <c r="B10" s="155" t="s">
        <v>543</v>
      </c>
      <c r="C10" s="8">
        <v>300</v>
      </c>
      <c r="D10" s="8">
        <v>448</v>
      </c>
      <c r="E10" s="8">
        <v>24</v>
      </c>
      <c r="F10" s="8">
        <v>0</v>
      </c>
      <c r="G10" s="153">
        <v>772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54">
        <v>5</v>
      </c>
      <c r="N10" s="8">
        <v>0</v>
      </c>
      <c r="O10" s="8">
        <v>0</v>
      </c>
      <c r="P10" s="8">
        <v>0</v>
      </c>
      <c r="Q10" s="154">
        <v>5</v>
      </c>
      <c r="R10" s="8">
        <v>0</v>
      </c>
      <c r="S10" s="14">
        <v>782</v>
      </c>
    </row>
    <row r="11" spans="1:19" ht="64.5" thickBot="1">
      <c r="A11" s="8">
        <v>7</v>
      </c>
      <c r="B11" s="155" t="s">
        <v>544</v>
      </c>
      <c r="C11" s="8">
        <v>405</v>
      </c>
      <c r="D11" s="8">
        <v>344</v>
      </c>
      <c r="E11" s="8">
        <v>30</v>
      </c>
      <c r="F11" s="8">
        <v>0</v>
      </c>
      <c r="G11" s="153">
        <v>779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54">
        <v>5</v>
      </c>
      <c r="N11" s="154">
        <v>3</v>
      </c>
      <c r="O11" s="8">
        <v>0</v>
      </c>
      <c r="P11" s="8">
        <v>0</v>
      </c>
      <c r="Q11" s="154">
        <v>5</v>
      </c>
      <c r="R11" s="8">
        <v>0</v>
      </c>
      <c r="S11" s="14">
        <v>792</v>
      </c>
    </row>
    <row r="12" spans="1:19" ht="51.75" thickBot="1">
      <c r="A12" s="8">
        <v>8</v>
      </c>
      <c r="B12" s="155" t="s">
        <v>545</v>
      </c>
      <c r="C12" s="8">
        <v>245</v>
      </c>
      <c r="D12" s="8">
        <v>444</v>
      </c>
      <c r="E12" s="8">
        <v>48</v>
      </c>
      <c r="F12" s="8">
        <v>0</v>
      </c>
      <c r="G12" s="153">
        <v>737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54">
        <v>5</v>
      </c>
      <c r="N12" s="8">
        <v>0</v>
      </c>
      <c r="O12" s="8">
        <v>0</v>
      </c>
      <c r="P12" s="8">
        <v>0</v>
      </c>
      <c r="Q12" s="154">
        <v>5</v>
      </c>
      <c r="R12" s="8">
        <v>0</v>
      </c>
      <c r="S12" s="14">
        <v>747</v>
      </c>
    </row>
    <row r="13" spans="1:19" ht="77.25" thickBot="1">
      <c r="A13" s="156">
        <v>9</v>
      </c>
      <c r="B13" s="155" t="s">
        <v>546</v>
      </c>
      <c r="C13" s="8">
        <v>155</v>
      </c>
      <c r="D13" s="8">
        <v>404</v>
      </c>
      <c r="E13" s="8">
        <v>150</v>
      </c>
      <c r="F13" s="154">
        <v>0</v>
      </c>
      <c r="G13" s="153">
        <v>709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54">
        <v>5</v>
      </c>
      <c r="N13" s="8">
        <v>0</v>
      </c>
      <c r="O13" s="8">
        <v>0</v>
      </c>
      <c r="P13" s="8">
        <v>0</v>
      </c>
      <c r="Q13" s="154">
        <v>5</v>
      </c>
      <c r="R13" s="8">
        <v>0</v>
      </c>
      <c r="S13" s="14">
        <v>719</v>
      </c>
    </row>
    <row r="14" spans="1:19" ht="64.5" thickBot="1">
      <c r="A14" s="156">
        <v>10</v>
      </c>
      <c r="B14" s="155" t="s">
        <v>547</v>
      </c>
      <c r="C14" s="8">
        <v>100</v>
      </c>
      <c r="D14" s="8">
        <v>464</v>
      </c>
      <c r="E14" s="8">
        <v>96</v>
      </c>
      <c r="F14" s="154">
        <v>0</v>
      </c>
      <c r="G14" s="153">
        <v>660</v>
      </c>
      <c r="H14" s="8">
        <v>0</v>
      </c>
      <c r="I14" s="8">
        <v>0</v>
      </c>
      <c r="J14" s="8">
        <v>0</v>
      </c>
      <c r="K14" s="157">
        <v>10</v>
      </c>
      <c r="L14" s="8">
        <v>0</v>
      </c>
      <c r="M14" s="154">
        <v>5</v>
      </c>
      <c r="N14" s="8">
        <v>0</v>
      </c>
      <c r="O14" s="8">
        <v>0</v>
      </c>
      <c r="P14" s="8">
        <v>0</v>
      </c>
      <c r="Q14" s="154">
        <v>5</v>
      </c>
      <c r="R14" s="8">
        <v>0</v>
      </c>
      <c r="S14" s="14">
        <v>680</v>
      </c>
    </row>
    <row r="15" spans="1:19" ht="51.75" thickBot="1">
      <c r="A15" s="8">
        <v>11</v>
      </c>
      <c r="B15" s="155" t="s">
        <v>548</v>
      </c>
      <c r="C15" s="8">
        <v>105</v>
      </c>
      <c r="D15" s="8">
        <v>336</v>
      </c>
      <c r="E15" s="8">
        <v>216</v>
      </c>
      <c r="F15" s="154">
        <v>-2</v>
      </c>
      <c r="G15" s="153">
        <v>655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54">
        <v>5</v>
      </c>
      <c r="N15" s="8">
        <v>0</v>
      </c>
      <c r="O15" s="8">
        <v>0</v>
      </c>
      <c r="P15" s="8">
        <v>0</v>
      </c>
      <c r="Q15" s="154">
        <v>5</v>
      </c>
      <c r="R15" s="8">
        <v>0</v>
      </c>
      <c r="S15" s="14">
        <v>665</v>
      </c>
    </row>
    <row r="16" spans="1:19" ht="51.75" thickBot="1">
      <c r="A16" s="156">
        <v>12</v>
      </c>
      <c r="B16" s="155" t="s">
        <v>549</v>
      </c>
      <c r="C16" s="8">
        <v>70</v>
      </c>
      <c r="D16" s="8">
        <v>344</v>
      </c>
      <c r="E16" s="8">
        <v>222</v>
      </c>
      <c r="F16" s="154">
        <v>-2</v>
      </c>
      <c r="G16" s="153">
        <v>634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54">
        <v>5</v>
      </c>
      <c r="N16" s="8">
        <v>0</v>
      </c>
      <c r="O16" s="8">
        <v>0</v>
      </c>
      <c r="P16" s="8">
        <v>0</v>
      </c>
      <c r="Q16" s="154">
        <v>5</v>
      </c>
      <c r="R16" s="8">
        <v>0</v>
      </c>
      <c r="S16" s="14">
        <v>644</v>
      </c>
    </row>
    <row r="17" spans="1:19" ht="51.75" thickBot="1">
      <c r="A17" s="8">
        <v>13</v>
      </c>
      <c r="B17" s="155" t="s">
        <v>550</v>
      </c>
      <c r="C17" s="8">
        <v>250</v>
      </c>
      <c r="D17" s="8">
        <v>452</v>
      </c>
      <c r="E17" s="8">
        <v>60</v>
      </c>
      <c r="F17" s="8">
        <v>0</v>
      </c>
      <c r="G17" s="153">
        <v>762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54">
        <v>5</v>
      </c>
      <c r="N17" s="8">
        <v>0</v>
      </c>
      <c r="O17" s="8">
        <v>0</v>
      </c>
      <c r="P17" s="8">
        <v>0</v>
      </c>
      <c r="Q17" s="154">
        <v>5</v>
      </c>
      <c r="R17" s="8">
        <v>0</v>
      </c>
      <c r="S17" s="14">
        <v>772</v>
      </c>
    </row>
    <row r="18" spans="1:19" ht="51.75" thickBot="1">
      <c r="A18" s="8">
        <v>14</v>
      </c>
      <c r="B18" s="155" t="s">
        <v>551</v>
      </c>
      <c r="C18" s="8">
        <v>145</v>
      </c>
      <c r="D18" s="8">
        <v>420</v>
      </c>
      <c r="E18" s="8">
        <v>135</v>
      </c>
      <c r="F18" s="8">
        <v>0</v>
      </c>
      <c r="G18" s="153">
        <v>700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54">
        <v>5</v>
      </c>
      <c r="N18" s="8">
        <v>0</v>
      </c>
      <c r="O18" s="8">
        <v>0</v>
      </c>
      <c r="P18" s="8">
        <v>0</v>
      </c>
      <c r="Q18" s="154">
        <v>5</v>
      </c>
      <c r="R18" s="8">
        <v>0</v>
      </c>
      <c r="S18" s="14">
        <v>710</v>
      </c>
    </row>
    <row r="19" spans="1:19" ht="64.5" thickBot="1">
      <c r="A19" s="8">
        <v>15</v>
      </c>
      <c r="B19" s="155" t="s">
        <v>552</v>
      </c>
      <c r="C19" s="8">
        <v>100</v>
      </c>
      <c r="D19" s="8">
        <v>348</v>
      </c>
      <c r="E19" s="8">
        <v>210</v>
      </c>
      <c r="F19" s="8">
        <v>0</v>
      </c>
      <c r="G19" s="153">
        <v>658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54">
        <v>5</v>
      </c>
      <c r="N19" s="8">
        <v>0</v>
      </c>
      <c r="O19" s="8">
        <v>0</v>
      </c>
      <c r="P19" s="8">
        <v>0</v>
      </c>
      <c r="Q19" s="154">
        <v>5</v>
      </c>
      <c r="R19" s="8">
        <v>0</v>
      </c>
      <c r="S19" s="14">
        <v>668</v>
      </c>
    </row>
    <row r="20" spans="1:19" ht="51.75" thickBot="1">
      <c r="A20" s="8">
        <v>16</v>
      </c>
      <c r="B20" s="155" t="s">
        <v>553</v>
      </c>
      <c r="C20" s="8">
        <v>295</v>
      </c>
      <c r="D20" s="8">
        <v>420</v>
      </c>
      <c r="E20" s="8">
        <v>24</v>
      </c>
      <c r="F20" s="8">
        <v>0</v>
      </c>
      <c r="G20" s="153">
        <v>739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54">
        <v>5</v>
      </c>
      <c r="N20" s="154">
        <v>3</v>
      </c>
      <c r="O20" s="8">
        <v>0</v>
      </c>
      <c r="P20" s="8">
        <v>0</v>
      </c>
      <c r="Q20" s="154">
        <v>5</v>
      </c>
      <c r="R20" s="8">
        <v>0</v>
      </c>
      <c r="S20" s="14">
        <v>752</v>
      </c>
    </row>
    <row r="21" spans="1:19" ht="64.5" thickBot="1">
      <c r="A21" s="8">
        <v>17</v>
      </c>
      <c r="B21" s="155" t="s">
        <v>554</v>
      </c>
      <c r="C21" s="8">
        <v>80</v>
      </c>
      <c r="D21" s="8">
        <v>452</v>
      </c>
      <c r="E21" s="8">
        <v>162</v>
      </c>
      <c r="F21" s="8">
        <v>0</v>
      </c>
      <c r="G21" s="153">
        <v>694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54">
        <v>5</v>
      </c>
      <c r="N21" s="8">
        <v>0</v>
      </c>
      <c r="O21" s="8">
        <v>0</v>
      </c>
      <c r="P21" s="8">
        <v>0</v>
      </c>
      <c r="Q21" s="154">
        <v>5</v>
      </c>
      <c r="R21" s="8">
        <v>0</v>
      </c>
      <c r="S21" s="14">
        <v>704</v>
      </c>
    </row>
    <row r="22" spans="1:19" ht="51.75" thickBot="1">
      <c r="A22" s="8">
        <v>18</v>
      </c>
      <c r="B22" s="155" t="s">
        <v>555</v>
      </c>
      <c r="C22" s="8">
        <v>445</v>
      </c>
      <c r="D22" s="8">
        <v>308</v>
      </c>
      <c r="E22" s="8">
        <v>51</v>
      </c>
      <c r="F22" s="8">
        <v>0</v>
      </c>
      <c r="G22" s="153">
        <v>804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54">
        <v>5</v>
      </c>
      <c r="N22" s="8">
        <v>0</v>
      </c>
      <c r="O22" s="8">
        <v>0</v>
      </c>
      <c r="P22" s="8">
        <v>0</v>
      </c>
      <c r="Q22" s="154">
        <v>5</v>
      </c>
      <c r="R22" s="8">
        <v>0</v>
      </c>
      <c r="S22" s="14">
        <v>814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34"/>
    </sheetView>
  </sheetViews>
  <sheetFormatPr defaultColWidth="9.140625" defaultRowHeight="15"/>
  <sheetData>
    <row r="1" spans="1:19" ht="15">
      <c r="A1" s="321" t="s">
        <v>556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v>21982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39" thickBot="1">
      <c r="A5" s="26">
        <v>1</v>
      </c>
      <c r="B5" s="48" t="s">
        <v>557</v>
      </c>
      <c r="C5" s="26">
        <v>420</v>
      </c>
      <c r="D5" s="26">
        <v>312</v>
      </c>
      <c r="E5" s="26">
        <v>39</v>
      </c>
      <c r="F5" s="26">
        <v>0</v>
      </c>
      <c r="G5" s="28">
        <f>C5+D5+E5-F5</f>
        <v>771</v>
      </c>
      <c r="H5" s="26">
        <v>0</v>
      </c>
      <c r="I5" s="26">
        <v>0</v>
      </c>
      <c r="J5" s="26">
        <v>0</v>
      </c>
      <c r="K5" s="29">
        <v>0</v>
      </c>
      <c r="L5" s="29">
        <v>0</v>
      </c>
      <c r="M5" s="29">
        <v>5</v>
      </c>
      <c r="N5" s="29">
        <v>0</v>
      </c>
      <c r="O5" s="29">
        <v>10</v>
      </c>
      <c r="P5" s="29">
        <v>0</v>
      </c>
      <c r="Q5" s="29">
        <v>5</v>
      </c>
      <c r="R5" s="29">
        <v>0</v>
      </c>
      <c r="S5" s="30">
        <f>G5+SUM(H5:Q5)</f>
        <v>791</v>
      </c>
    </row>
    <row r="6" spans="1:19" ht="39" thickBot="1">
      <c r="A6" s="26">
        <v>2</v>
      </c>
      <c r="B6" s="49" t="s">
        <v>558</v>
      </c>
      <c r="C6" s="26">
        <v>525</v>
      </c>
      <c r="D6" s="26">
        <v>236</v>
      </c>
      <c r="E6" s="26">
        <v>18</v>
      </c>
      <c r="F6" s="26">
        <v>0</v>
      </c>
      <c r="G6" s="28">
        <f>C6+D6+E6-F6</f>
        <v>779</v>
      </c>
      <c r="H6" s="26">
        <v>-4</v>
      </c>
      <c r="I6" s="26">
        <v>0</v>
      </c>
      <c r="J6" s="26">
        <v>0</v>
      </c>
      <c r="K6" s="31">
        <v>0</v>
      </c>
      <c r="L6" s="31">
        <v>5</v>
      </c>
      <c r="M6" s="29">
        <v>5</v>
      </c>
      <c r="N6" s="29">
        <v>0</v>
      </c>
      <c r="O6" s="31">
        <v>10</v>
      </c>
      <c r="P6" s="31">
        <v>0</v>
      </c>
      <c r="Q6" s="29">
        <v>5</v>
      </c>
      <c r="R6" s="31">
        <v>0</v>
      </c>
      <c r="S6" s="30">
        <f aca="true" t="shared" si="0" ref="S6:S32">G6+SUM(H6:Q6)</f>
        <v>800</v>
      </c>
    </row>
    <row r="7" spans="1:19" ht="51.75" thickBot="1">
      <c r="A7" s="26">
        <v>3</v>
      </c>
      <c r="B7" s="49" t="s">
        <v>559</v>
      </c>
      <c r="C7" s="26">
        <v>440</v>
      </c>
      <c r="D7" s="26">
        <v>284</v>
      </c>
      <c r="E7" s="26">
        <v>9</v>
      </c>
      <c r="F7" s="26">
        <v>0</v>
      </c>
      <c r="G7" s="28">
        <f aca="true" t="shared" si="1" ref="G7:G32">C7+D7+E7-F7</f>
        <v>733</v>
      </c>
      <c r="H7" s="26">
        <v>-6</v>
      </c>
      <c r="I7" s="26"/>
      <c r="J7" s="26">
        <v>0</v>
      </c>
      <c r="K7" s="31">
        <v>0</v>
      </c>
      <c r="L7" s="31">
        <v>0</v>
      </c>
      <c r="M7" s="29">
        <v>5</v>
      </c>
      <c r="N7" s="29">
        <v>0</v>
      </c>
      <c r="O7" s="31">
        <v>10</v>
      </c>
      <c r="P7" s="31">
        <v>0</v>
      </c>
      <c r="Q7" s="29">
        <v>5</v>
      </c>
      <c r="R7" s="31">
        <v>0</v>
      </c>
      <c r="S7" s="30">
        <f t="shared" si="0"/>
        <v>747</v>
      </c>
    </row>
    <row r="8" spans="1:19" ht="51.75" thickBot="1">
      <c r="A8" s="26">
        <v>4</v>
      </c>
      <c r="B8" s="49" t="s">
        <v>560</v>
      </c>
      <c r="C8" s="26">
        <v>390</v>
      </c>
      <c r="D8" s="26">
        <v>374</v>
      </c>
      <c r="E8" s="26">
        <v>12</v>
      </c>
      <c r="F8" s="26">
        <v>0</v>
      </c>
      <c r="G8" s="28">
        <f t="shared" si="1"/>
        <v>776</v>
      </c>
      <c r="H8" s="26">
        <v>0</v>
      </c>
      <c r="I8" s="26">
        <v>0</v>
      </c>
      <c r="J8" s="26">
        <v>0</v>
      </c>
      <c r="K8" s="31">
        <v>0</v>
      </c>
      <c r="L8" s="31">
        <v>5</v>
      </c>
      <c r="M8" s="29">
        <v>5</v>
      </c>
      <c r="N8" s="29">
        <v>0</v>
      </c>
      <c r="O8" s="31">
        <v>10</v>
      </c>
      <c r="P8" s="31">
        <v>0</v>
      </c>
      <c r="Q8" s="29">
        <v>5</v>
      </c>
      <c r="R8" s="31">
        <v>0</v>
      </c>
      <c r="S8" s="30">
        <f t="shared" si="0"/>
        <v>801</v>
      </c>
    </row>
    <row r="9" spans="1:19" ht="64.5" thickBot="1">
      <c r="A9" s="26">
        <v>5</v>
      </c>
      <c r="B9" s="49" t="s">
        <v>561</v>
      </c>
      <c r="C9" s="26">
        <v>530</v>
      </c>
      <c r="D9" s="26">
        <v>224</v>
      </c>
      <c r="E9" s="26">
        <v>9</v>
      </c>
      <c r="F9" s="26">
        <v>0</v>
      </c>
      <c r="G9" s="28">
        <f t="shared" si="1"/>
        <v>763</v>
      </c>
      <c r="H9" s="26">
        <v>0</v>
      </c>
      <c r="I9" s="26">
        <v>0</v>
      </c>
      <c r="J9" s="26">
        <v>0</v>
      </c>
      <c r="K9" s="31">
        <v>0</v>
      </c>
      <c r="L9" s="31">
        <v>0</v>
      </c>
      <c r="M9" s="29">
        <v>5</v>
      </c>
      <c r="N9" s="29">
        <v>0</v>
      </c>
      <c r="O9" s="31">
        <v>10</v>
      </c>
      <c r="P9" s="31">
        <v>0</v>
      </c>
      <c r="Q9" s="29">
        <v>5</v>
      </c>
      <c r="R9" s="31">
        <v>0</v>
      </c>
      <c r="S9" s="30">
        <f t="shared" si="0"/>
        <v>783</v>
      </c>
    </row>
    <row r="10" spans="1:19" ht="51.75" thickBot="1">
      <c r="A10" s="26">
        <v>6</v>
      </c>
      <c r="B10" s="49" t="s">
        <v>562</v>
      </c>
      <c r="C10" s="26">
        <v>255</v>
      </c>
      <c r="D10" s="26">
        <v>376</v>
      </c>
      <c r="E10" s="26">
        <v>54</v>
      </c>
      <c r="F10" s="26">
        <v>0</v>
      </c>
      <c r="G10" s="28">
        <f t="shared" si="1"/>
        <v>685</v>
      </c>
      <c r="H10" s="26">
        <v>0</v>
      </c>
      <c r="I10" s="26">
        <v>0</v>
      </c>
      <c r="J10" s="26">
        <v>0</v>
      </c>
      <c r="K10" s="31">
        <v>0</v>
      </c>
      <c r="L10" s="31">
        <v>0</v>
      </c>
      <c r="M10" s="29">
        <v>5</v>
      </c>
      <c r="N10" s="29">
        <v>0</v>
      </c>
      <c r="O10" s="31">
        <v>10</v>
      </c>
      <c r="P10" s="31">
        <v>0</v>
      </c>
      <c r="Q10" s="29">
        <v>5</v>
      </c>
      <c r="R10" s="31">
        <v>0</v>
      </c>
      <c r="S10" s="30">
        <f t="shared" si="0"/>
        <v>705</v>
      </c>
    </row>
    <row r="11" spans="1:19" ht="51.75" thickBot="1">
      <c r="A11" s="26">
        <v>7</v>
      </c>
      <c r="B11" s="49" t="s">
        <v>563</v>
      </c>
      <c r="C11" s="26">
        <v>350</v>
      </c>
      <c r="D11" s="26">
        <v>356</v>
      </c>
      <c r="E11" s="26">
        <v>18</v>
      </c>
      <c r="F11" s="26">
        <v>0</v>
      </c>
      <c r="G11" s="28">
        <f t="shared" si="1"/>
        <v>724</v>
      </c>
      <c r="H11" s="26">
        <v>0</v>
      </c>
      <c r="I11" s="26">
        <v>0</v>
      </c>
      <c r="J11" s="26">
        <v>0</v>
      </c>
      <c r="K11" s="31">
        <v>0</v>
      </c>
      <c r="L11" s="31">
        <v>0</v>
      </c>
      <c r="M11" s="29">
        <v>5</v>
      </c>
      <c r="N11" s="29">
        <v>0</v>
      </c>
      <c r="O11" s="31">
        <v>10</v>
      </c>
      <c r="P11" s="31">
        <v>0</v>
      </c>
      <c r="Q11" s="29">
        <v>5</v>
      </c>
      <c r="R11" s="31">
        <v>0</v>
      </c>
      <c r="S11" s="30">
        <f t="shared" si="0"/>
        <v>744</v>
      </c>
    </row>
    <row r="12" spans="1:19" ht="64.5" thickBot="1">
      <c r="A12" s="26">
        <v>8</v>
      </c>
      <c r="B12" s="49" t="s">
        <v>564</v>
      </c>
      <c r="C12" s="26">
        <v>530</v>
      </c>
      <c r="D12" s="26">
        <v>212</v>
      </c>
      <c r="E12" s="26">
        <v>6</v>
      </c>
      <c r="F12" s="26">
        <v>0</v>
      </c>
      <c r="G12" s="28">
        <f t="shared" si="1"/>
        <v>748</v>
      </c>
      <c r="H12" s="26">
        <v>0</v>
      </c>
      <c r="I12" s="26">
        <v>0</v>
      </c>
      <c r="J12" s="26">
        <v>0</v>
      </c>
      <c r="K12" s="31">
        <v>0</v>
      </c>
      <c r="L12" s="31">
        <v>0</v>
      </c>
      <c r="M12" s="29">
        <v>5</v>
      </c>
      <c r="N12" s="29">
        <v>0</v>
      </c>
      <c r="O12" s="31">
        <v>10</v>
      </c>
      <c r="P12" s="31">
        <v>0</v>
      </c>
      <c r="Q12" s="29">
        <v>5</v>
      </c>
      <c r="R12" s="31">
        <v>0</v>
      </c>
      <c r="S12" s="30">
        <f t="shared" si="0"/>
        <v>768</v>
      </c>
    </row>
    <row r="13" spans="1:19" ht="64.5" thickBot="1">
      <c r="A13" s="32">
        <v>9</v>
      </c>
      <c r="B13" s="57" t="s">
        <v>565</v>
      </c>
      <c r="C13" s="26">
        <v>430</v>
      </c>
      <c r="D13" s="26">
        <v>340</v>
      </c>
      <c r="E13" s="26">
        <v>27</v>
      </c>
      <c r="F13" s="32">
        <v>0</v>
      </c>
      <c r="G13" s="28">
        <f t="shared" si="1"/>
        <v>797</v>
      </c>
      <c r="H13" s="32">
        <v>-2</v>
      </c>
      <c r="I13" s="32">
        <v>0</v>
      </c>
      <c r="J13" s="32">
        <v>0</v>
      </c>
      <c r="K13" s="34">
        <v>0</v>
      </c>
      <c r="L13" s="34">
        <v>0</v>
      </c>
      <c r="M13" s="32">
        <v>5</v>
      </c>
      <c r="N13" s="32">
        <v>0</v>
      </c>
      <c r="O13" s="34">
        <v>10</v>
      </c>
      <c r="P13" s="34">
        <v>0</v>
      </c>
      <c r="Q13" s="32">
        <v>5</v>
      </c>
      <c r="R13" s="34">
        <v>0</v>
      </c>
      <c r="S13" s="30">
        <f t="shared" si="0"/>
        <v>815</v>
      </c>
    </row>
    <row r="14" spans="1:19" ht="64.5" thickBot="1">
      <c r="A14" s="32">
        <v>10</v>
      </c>
      <c r="B14" s="57" t="s">
        <v>566</v>
      </c>
      <c r="C14" s="26">
        <v>430</v>
      </c>
      <c r="D14" s="26">
        <v>308</v>
      </c>
      <c r="E14" s="26">
        <v>18</v>
      </c>
      <c r="F14" s="32">
        <v>0</v>
      </c>
      <c r="G14" s="28">
        <f t="shared" si="1"/>
        <v>756</v>
      </c>
      <c r="H14" s="32">
        <v>0</v>
      </c>
      <c r="I14" s="32">
        <v>0</v>
      </c>
      <c r="J14" s="32">
        <v>0</v>
      </c>
      <c r="K14" s="34">
        <v>0</v>
      </c>
      <c r="L14" s="34">
        <v>0</v>
      </c>
      <c r="M14" s="32">
        <v>5</v>
      </c>
      <c r="N14" s="32">
        <v>0</v>
      </c>
      <c r="O14" s="34">
        <v>10</v>
      </c>
      <c r="P14" s="34">
        <v>0</v>
      </c>
      <c r="Q14" s="32">
        <v>5</v>
      </c>
      <c r="R14" s="34">
        <v>0</v>
      </c>
      <c r="S14" s="30">
        <f t="shared" si="0"/>
        <v>776</v>
      </c>
    </row>
    <row r="15" spans="1:19" ht="77.25" thickBot="1">
      <c r="A15" s="26">
        <v>11</v>
      </c>
      <c r="B15" s="49" t="s">
        <v>567</v>
      </c>
      <c r="C15" s="26">
        <v>465</v>
      </c>
      <c r="D15" s="26">
        <v>324</v>
      </c>
      <c r="E15" s="26">
        <v>9</v>
      </c>
      <c r="F15" s="26">
        <v>0</v>
      </c>
      <c r="G15" s="28">
        <f t="shared" si="1"/>
        <v>798</v>
      </c>
      <c r="H15" s="26">
        <v>0</v>
      </c>
      <c r="I15" s="26">
        <v>0</v>
      </c>
      <c r="J15" s="26">
        <v>0</v>
      </c>
      <c r="K15" s="31">
        <v>0</v>
      </c>
      <c r="L15" s="31">
        <v>0</v>
      </c>
      <c r="M15" s="29">
        <v>5</v>
      </c>
      <c r="N15" s="29">
        <v>0</v>
      </c>
      <c r="O15" s="31">
        <v>10</v>
      </c>
      <c r="P15" s="31">
        <v>0</v>
      </c>
      <c r="Q15" s="29">
        <v>5</v>
      </c>
      <c r="R15" s="31">
        <v>0</v>
      </c>
      <c r="S15" s="30">
        <f t="shared" si="0"/>
        <v>818</v>
      </c>
    </row>
    <row r="16" spans="1:19" ht="39" thickBot="1">
      <c r="A16" s="32">
        <v>12</v>
      </c>
      <c r="B16" s="57" t="s">
        <v>568</v>
      </c>
      <c r="C16" s="26">
        <v>655</v>
      </c>
      <c r="D16" s="26">
        <v>184</v>
      </c>
      <c r="E16" s="26">
        <v>0</v>
      </c>
      <c r="F16" s="32">
        <v>0</v>
      </c>
      <c r="G16" s="28">
        <f t="shared" si="1"/>
        <v>839</v>
      </c>
      <c r="H16" s="32">
        <v>0</v>
      </c>
      <c r="I16" s="32">
        <v>0</v>
      </c>
      <c r="J16" s="32">
        <v>0</v>
      </c>
      <c r="K16" s="34">
        <v>0</v>
      </c>
      <c r="L16" s="34">
        <v>0</v>
      </c>
      <c r="M16" s="32">
        <v>5</v>
      </c>
      <c r="N16" s="32">
        <v>0</v>
      </c>
      <c r="O16" s="34">
        <v>10</v>
      </c>
      <c r="P16" s="34">
        <v>0</v>
      </c>
      <c r="Q16" s="32">
        <v>5</v>
      </c>
      <c r="R16" s="34">
        <v>0</v>
      </c>
      <c r="S16" s="30">
        <f t="shared" si="0"/>
        <v>859</v>
      </c>
    </row>
    <row r="17" spans="1:19" ht="51.75" thickBot="1">
      <c r="A17" s="26">
        <v>13</v>
      </c>
      <c r="B17" s="49" t="s">
        <v>569</v>
      </c>
      <c r="C17" s="26">
        <v>420</v>
      </c>
      <c r="D17" s="26">
        <v>340</v>
      </c>
      <c r="E17" s="26">
        <v>9</v>
      </c>
      <c r="F17" s="26">
        <v>0</v>
      </c>
      <c r="G17" s="28">
        <f t="shared" si="1"/>
        <v>769</v>
      </c>
      <c r="H17" s="26">
        <v>0</v>
      </c>
      <c r="I17" s="26">
        <v>0</v>
      </c>
      <c r="J17" s="26">
        <v>0</v>
      </c>
      <c r="K17" s="31">
        <v>0</v>
      </c>
      <c r="L17" s="31">
        <v>0</v>
      </c>
      <c r="M17" s="29">
        <v>5</v>
      </c>
      <c r="N17" s="29">
        <v>0</v>
      </c>
      <c r="O17" s="31">
        <v>10</v>
      </c>
      <c r="P17" s="31">
        <v>0</v>
      </c>
      <c r="Q17" s="29">
        <v>5</v>
      </c>
      <c r="R17" s="31">
        <v>0</v>
      </c>
      <c r="S17" s="30">
        <f t="shared" si="0"/>
        <v>789</v>
      </c>
    </row>
    <row r="18" spans="1:19" ht="51.75" thickBot="1">
      <c r="A18" s="26">
        <v>14</v>
      </c>
      <c r="B18" s="49" t="s">
        <v>570</v>
      </c>
      <c r="C18" s="26">
        <v>560</v>
      </c>
      <c r="D18" s="26">
        <v>220</v>
      </c>
      <c r="E18" s="26">
        <v>9</v>
      </c>
      <c r="F18" s="26">
        <v>0</v>
      </c>
      <c r="G18" s="28">
        <f t="shared" si="1"/>
        <v>789</v>
      </c>
      <c r="H18" s="26">
        <v>0</v>
      </c>
      <c r="I18" s="26">
        <v>0</v>
      </c>
      <c r="J18" s="26">
        <v>0</v>
      </c>
      <c r="K18" s="31">
        <v>0</v>
      </c>
      <c r="L18" s="31">
        <v>0</v>
      </c>
      <c r="M18" s="29">
        <v>5</v>
      </c>
      <c r="N18" s="29">
        <v>0</v>
      </c>
      <c r="O18" s="31">
        <v>10</v>
      </c>
      <c r="P18" s="31">
        <v>0</v>
      </c>
      <c r="Q18" s="29">
        <v>5</v>
      </c>
      <c r="R18" s="31">
        <v>0</v>
      </c>
      <c r="S18" s="30">
        <f t="shared" si="0"/>
        <v>809</v>
      </c>
    </row>
    <row r="19" spans="1:19" ht="64.5" thickBot="1">
      <c r="A19" s="26">
        <v>15</v>
      </c>
      <c r="B19" s="49" t="s">
        <v>571</v>
      </c>
      <c r="C19" s="26">
        <v>555</v>
      </c>
      <c r="D19" s="26">
        <v>244</v>
      </c>
      <c r="E19" s="26">
        <v>3</v>
      </c>
      <c r="F19" s="26"/>
      <c r="G19" s="28">
        <f t="shared" si="1"/>
        <v>802</v>
      </c>
      <c r="H19" s="26">
        <v>0</v>
      </c>
      <c r="I19" s="26">
        <v>0</v>
      </c>
      <c r="J19" s="26">
        <v>0</v>
      </c>
      <c r="K19" s="31">
        <v>0</v>
      </c>
      <c r="L19" s="31">
        <v>0</v>
      </c>
      <c r="M19" s="29">
        <v>5</v>
      </c>
      <c r="N19" s="29">
        <v>0</v>
      </c>
      <c r="O19" s="31">
        <v>10</v>
      </c>
      <c r="P19" s="31">
        <v>0</v>
      </c>
      <c r="Q19" s="29">
        <v>5</v>
      </c>
      <c r="R19" s="31">
        <v>0</v>
      </c>
      <c r="S19" s="30">
        <f t="shared" si="0"/>
        <v>822</v>
      </c>
    </row>
    <row r="20" spans="1:19" ht="64.5" thickBot="1">
      <c r="A20" s="26">
        <v>16</v>
      </c>
      <c r="B20" s="49" t="s">
        <v>572</v>
      </c>
      <c r="C20" s="26">
        <v>580</v>
      </c>
      <c r="D20" s="26">
        <v>212</v>
      </c>
      <c r="E20" s="26">
        <v>3</v>
      </c>
      <c r="F20" s="26">
        <v>0</v>
      </c>
      <c r="G20" s="28">
        <f t="shared" si="1"/>
        <v>795</v>
      </c>
      <c r="H20" s="26">
        <v>0</v>
      </c>
      <c r="I20" s="26">
        <v>0</v>
      </c>
      <c r="J20" s="26">
        <v>0</v>
      </c>
      <c r="K20" s="31">
        <v>0</v>
      </c>
      <c r="L20" s="31">
        <v>0</v>
      </c>
      <c r="M20" s="29">
        <v>5</v>
      </c>
      <c r="N20" s="29">
        <v>0</v>
      </c>
      <c r="O20" s="31">
        <v>10</v>
      </c>
      <c r="P20" s="31">
        <v>0</v>
      </c>
      <c r="Q20" s="29">
        <v>5</v>
      </c>
      <c r="R20" s="31">
        <v>0</v>
      </c>
      <c r="S20" s="30">
        <f t="shared" si="0"/>
        <v>815</v>
      </c>
    </row>
    <row r="21" spans="1:19" ht="26.25" thickBot="1">
      <c r="A21" s="26">
        <v>17</v>
      </c>
      <c r="B21" s="49" t="s">
        <v>573</v>
      </c>
      <c r="C21" s="26">
        <v>625</v>
      </c>
      <c r="D21" s="26">
        <v>164</v>
      </c>
      <c r="E21" s="26">
        <v>3</v>
      </c>
      <c r="F21" s="26">
        <v>0</v>
      </c>
      <c r="G21" s="28">
        <f t="shared" si="1"/>
        <v>792</v>
      </c>
      <c r="H21" s="26">
        <v>-4</v>
      </c>
      <c r="I21" s="26">
        <v>0</v>
      </c>
      <c r="J21" s="26">
        <v>0</v>
      </c>
      <c r="K21" s="31">
        <v>0</v>
      </c>
      <c r="L21" s="31">
        <v>0</v>
      </c>
      <c r="M21" s="29">
        <v>5</v>
      </c>
      <c r="N21" s="29">
        <v>0</v>
      </c>
      <c r="O21" s="31">
        <v>10</v>
      </c>
      <c r="P21" s="31">
        <v>0</v>
      </c>
      <c r="Q21" s="29">
        <v>5</v>
      </c>
      <c r="R21" s="31">
        <v>0</v>
      </c>
      <c r="S21" s="30">
        <f t="shared" si="0"/>
        <v>808</v>
      </c>
    </row>
    <row r="22" spans="1:19" ht="64.5" thickBot="1">
      <c r="A22" s="26">
        <v>18</v>
      </c>
      <c r="B22" s="49" t="s">
        <v>574</v>
      </c>
      <c r="C22" s="26">
        <v>385</v>
      </c>
      <c r="D22" s="26">
        <v>288</v>
      </c>
      <c r="E22" s="26">
        <v>9</v>
      </c>
      <c r="F22" s="26">
        <v>0</v>
      </c>
      <c r="G22" s="28">
        <f t="shared" si="1"/>
        <v>682</v>
      </c>
      <c r="H22" s="26">
        <v>-2</v>
      </c>
      <c r="I22" s="26">
        <v>0</v>
      </c>
      <c r="J22" s="26">
        <v>0</v>
      </c>
      <c r="K22" s="31">
        <v>0</v>
      </c>
      <c r="L22" s="31">
        <v>0</v>
      </c>
      <c r="M22" s="29">
        <v>5</v>
      </c>
      <c r="N22" s="29">
        <v>0</v>
      </c>
      <c r="O22" s="31">
        <v>10</v>
      </c>
      <c r="P22" s="31">
        <v>0</v>
      </c>
      <c r="Q22" s="29">
        <v>5</v>
      </c>
      <c r="R22" s="31">
        <v>0</v>
      </c>
      <c r="S22" s="30">
        <f t="shared" si="0"/>
        <v>700</v>
      </c>
    </row>
    <row r="23" spans="1:19" ht="51.75" thickBot="1">
      <c r="A23" s="26">
        <v>19</v>
      </c>
      <c r="B23" s="49" t="s">
        <v>575</v>
      </c>
      <c r="C23" s="26">
        <v>570</v>
      </c>
      <c r="D23" s="26">
        <v>240</v>
      </c>
      <c r="E23" s="26">
        <v>0</v>
      </c>
      <c r="F23" s="26">
        <v>0</v>
      </c>
      <c r="G23" s="28">
        <f t="shared" si="1"/>
        <v>810</v>
      </c>
      <c r="H23" s="26">
        <v>0</v>
      </c>
      <c r="I23" s="26">
        <v>0</v>
      </c>
      <c r="J23" s="26">
        <v>0</v>
      </c>
      <c r="K23" s="31">
        <v>0</v>
      </c>
      <c r="L23" s="31">
        <v>0</v>
      </c>
      <c r="M23" s="29">
        <v>5</v>
      </c>
      <c r="N23" s="29">
        <v>0</v>
      </c>
      <c r="O23" s="31">
        <v>10</v>
      </c>
      <c r="P23" s="31">
        <v>0</v>
      </c>
      <c r="Q23" s="29">
        <v>5</v>
      </c>
      <c r="R23" s="31">
        <v>0</v>
      </c>
      <c r="S23" s="30">
        <f t="shared" si="0"/>
        <v>830</v>
      </c>
    </row>
    <row r="24" spans="1:19" ht="51.75" thickBot="1">
      <c r="A24" s="26">
        <v>20</v>
      </c>
      <c r="B24" s="49" t="s">
        <v>576</v>
      </c>
      <c r="C24" s="26">
        <v>535</v>
      </c>
      <c r="D24" s="26">
        <v>236</v>
      </c>
      <c r="E24" s="26">
        <v>3</v>
      </c>
      <c r="F24" s="26">
        <v>0</v>
      </c>
      <c r="G24" s="28">
        <f t="shared" si="1"/>
        <v>774</v>
      </c>
      <c r="H24" s="26">
        <v>0</v>
      </c>
      <c r="I24" s="26">
        <v>0</v>
      </c>
      <c r="J24" s="26">
        <v>0</v>
      </c>
      <c r="K24" s="31">
        <v>0</v>
      </c>
      <c r="L24" s="31">
        <v>0</v>
      </c>
      <c r="M24" s="29">
        <v>5</v>
      </c>
      <c r="N24" s="29">
        <v>0</v>
      </c>
      <c r="O24" s="31">
        <v>10</v>
      </c>
      <c r="P24" s="31">
        <v>0</v>
      </c>
      <c r="Q24" s="29">
        <v>5</v>
      </c>
      <c r="R24" s="31">
        <v>0</v>
      </c>
      <c r="S24" s="30">
        <f t="shared" si="0"/>
        <v>794</v>
      </c>
    </row>
    <row r="25" spans="1:19" ht="51.75" thickBot="1">
      <c r="A25" s="26">
        <v>21</v>
      </c>
      <c r="B25" s="49" t="s">
        <v>577</v>
      </c>
      <c r="C25" s="8">
        <v>255</v>
      </c>
      <c r="D25" s="8">
        <v>392</v>
      </c>
      <c r="E25" s="26">
        <v>36</v>
      </c>
      <c r="F25" s="26">
        <v>-4</v>
      </c>
      <c r="G25" s="28">
        <f t="shared" si="1"/>
        <v>687</v>
      </c>
      <c r="H25" s="26">
        <v>0</v>
      </c>
      <c r="I25" s="26">
        <v>0</v>
      </c>
      <c r="J25" s="26">
        <v>0</v>
      </c>
      <c r="K25" s="31">
        <v>0</v>
      </c>
      <c r="L25" s="31">
        <v>0</v>
      </c>
      <c r="M25" s="29">
        <v>5</v>
      </c>
      <c r="N25" s="29">
        <v>0</v>
      </c>
      <c r="O25" s="31">
        <v>10</v>
      </c>
      <c r="P25" s="31">
        <v>0</v>
      </c>
      <c r="Q25" s="29">
        <v>5</v>
      </c>
      <c r="R25" s="31">
        <v>0</v>
      </c>
      <c r="S25" s="30">
        <f t="shared" si="0"/>
        <v>707</v>
      </c>
    </row>
    <row r="26" spans="1:19" ht="51.75" thickBot="1">
      <c r="A26" s="26">
        <v>22</v>
      </c>
      <c r="B26" s="49" t="s">
        <v>578</v>
      </c>
      <c r="C26" s="8">
        <v>485</v>
      </c>
      <c r="D26" s="8">
        <v>274</v>
      </c>
      <c r="E26" s="26">
        <v>15</v>
      </c>
      <c r="F26" s="26">
        <v>0</v>
      </c>
      <c r="G26" s="28">
        <f t="shared" si="1"/>
        <v>774</v>
      </c>
      <c r="H26" s="26">
        <v>0</v>
      </c>
      <c r="I26" s="26">
        <v>0</v>
      </c>
      <c r="J26" s="26">
        <v>0</v>
      </c>
      <c r="K26" s="31">
        <v>0</v>
      </c>
      <c r="L26" s="31">
        <v>0</v>
      </c>
      <c r="M26" s="29">
        <v>5</v>
      </c>
      <c r="N26" s="29">
        <v>0</v>
      </c>
      <c r="O26" s="31">
        <v>10</v>
      </c>
      <c r="P26" s="31">
        <v>0</v>
      </c>
      <c r="Q26" s="29">
        <v>5</v>
      </c>
      <c r="R26" s="31">
        <v>0</v>
      </c>
      <c r="S26" s="30">
        <f t="shared" si="0"/>
        <v>794</v>
      </c>
    </row>
    <row r="27" spans="1:19" ht="26.25" thickBot="1">
      <c r="A27" s="26">
        <v>23</v>
      </c>
      <c r="B27" s="49" t="s">
        <v>579</v>
      </c>
      <c r="C27" s="8">
        <v>560</v>
      </c>
      <c r="D27" s="8">
        <v>208</v>
      </c>
      <c r="E27" s="26">
        <v>12</v>
      </c>
      <c r="F27" s="26">
        <v>0</v>
      </c>
      <c r="G27" s="28">
        <f t="shared" si="1"/>
        <v>780</v>
      </c>
      <c r="H27" s="26">
        <v>0</v>
      </c>
      <c r="I27" s="26">
        <v>0</v>
      </c>
      <c r="J27" s="26">
        <v>0</v>
      </c>
      <c r="K27" s="31">
        <v>0</v>
      </c>
      <c r="L27" s="31">
        <v>0</v>
      </c>
      <c r="M27" s="29">
        <v>5</v>
      </c>
      <c r="N27" s="29">
        <v>0</v>
      </c>
      <c r="O27" s="31">
        <v>10</v>
      </c>
      <c r="P27" s="31">
        <v>0</v>
      </c>
      <c r="Q27" s="29">
        <v>5</v>
      </c>
      <c r="R27" s="31">
        <v>0</v>
      </c>
      <c r="S27" s="30">
        <f t="shared" si="0"/>
        <v>800</v>
      </c>
    </row>
    <row r="28" spans="1:19" ht="51.75" thickBot="1">
      <c r="A28" s="26">
        <v>24</v>
      </c>
      <c r="B28" s="49" t="s">
        <v>580</v>
      </c>
      <c r="C28" s="8">
        <v>555</v>
      </c>
      <c r="D28" s="8">
        <v>254</v>
      </c>
      <c r="E28" s="26">
        <v>3</v>
      </c>
      <c r="F28" s="26">
        <v>0</v>
      </c>
      <c r="G28" s="28">
        <f t="shared" si="1"/>
        <v>812</v>
      </c>
      <c r="H28" s="26">
        <v>0</v>
      </c>
      <c r="I28" s="26">
        <v>0</v>
      </c>
      <c r="J28" s="26">
        <v>0</v>
      </c>
      <c r="K28" s="31">
        <v>0</v>
      </c>
      <c r="L28" s="31">
        <v>0</v>
      </c>
      <c r="M28" s="29">
        <v>5</v>
      </c>
      <c r="N28" s="29">
        <v>0</v>
      </c>
      <c r="O28" s="31">
        <v>10</v>
      </c>
      <c r="P28" s="31">
        <v>0</v>
      </c>
      <c r="Q28" s="29">
        <v>5</v>
      </c>
      <c r="R28" s="31">
        <v>0</v>
      </c>
      <c r="S28" s="30">
        <f t="shared" si="0"/>
        <v>832</v>
      </c>
    </row>
    <row r="29" spans="1:19" ht="51.75" thickBot="1">
      <c r="A29" s="26">
        <v>25</v>
      </c>
      <c r="B29" s="49" t="s">
        <v>581</v>
      </c>
      <c r="C29" s="8">
        <v>270</v>
      </c>
      <c r="D29" s="8">
        <v>356</v>
      </c>
      <c r="E29" s="26">
        <v>69</v>
      </c>
      <c r="F29" s="26">
        <v>-4</v>
      </c>
      <c r="G29" s="28">
        <f t="shared" si="1"/>
        <v>699</v>
      </c>
      <c r="H29" s="26">
        <v>-4</v>
      </c>
      <c r="I29" s="26">
        <v>0</v>
      </c>
      <c r="J29" s="26">
        <v>0</v>
      </c>
      <c r="K29" s="31">
        <v>0</v>
      </c>
      <c r="L29" s="31">
        <v>0</v>
      </c>
      <c r="M29" s="29">
        <v>5</v>
      </c>
      <c r="N29" s="29">
        <v>0</v>
      </c>
      <c r="O29" s="31">
        <v>10</v>
      </c>
      <c r="P29" s="31">
        <v>0</v>
      </c>
      <c r="Q29" s="29">
        <v>5</v>
      </c>
      <c r="R29" s="31">
        <v>0</v>
      </c>
      <c r="S29" s="30">
        <f t="shared" si="0"/>
        <v>715</v>
      </c>
    </row>
    <row r="30" spans="1:19" ht="51.75" thickBot="1">
      <c r="A30" s="26">
        <v>26</v>
      </c>
      <c r="B30" s="49" t="s">
        <v>582</v>
      </c>
      <c r="C30" s="8">
        <v>355</v>
      </c>
      <c r="D30" s="8">
        <v>336</v>
      </c>
      <c r="E30" s="26">
        <v>39</v>
      </c>
      <c r="F30" s="26">
        <v>0</v>
      </c>
      <c r="G30" s="28">
        <f t="shared" si="1"/>
        <v>730</v>
      </c>
      <c r="H30" s="26">
        <v>0</v>
      </c>
      <c r="I30" s="26">
        <v>0</v>
      </c>
      <c r="J30" s="26">
        <v>0</v>
      </c>
      <c r="K30" s="31">
        <v>0</v>
      </c>
      <c r="L30" s="31">
        <v>0</v>
      </c>
      <c r="M30" s="29">
        <v>5</v>
      </c>
      <c r="N30" s="29">
        <v>0</v>
      </c>
      <c r="O30" s="31">
        <v>10</v>
      </c>
      <c r="P30" s="31">
        <v>0</v>
      </c>
      <c r="Q30" s="29">
        <v>5</v>
      </c>
      <c r="R30" s="31">
        <v>0</v>
      </c>
      <c r="S30" s="30">
        <f t="shared" si="0"/>
        <v>750</v>
      </c>
    </row>
    <row r="31" spans="1:19" ht="51.75" thickBot="1">
      <c r="A31" s="26">
        <v>27</v>
      </c>
      <c r="B31" s="49" t="s">
        <v>583</v>
      </c>
      <c r="C31" s="8">
        <v>360</v>
      </c>
      <c r="D31" s="8">
        <v>319</v>
      </c>
      <c r="E31" s="26">
        <v>42</v>
      </c>
      <c r="F31" s="26">
        <v>0</v>
      </c>
      <c r="G31" s="28">
        <f t="shared" si="1"/>
        <v>721</v>
      </c>
      <c r="H31" s="26">
        <v>-2</v>
      </c>
      <c r="I31" s="26">
        <v>0</v>
      </c>
      <c r="J31" s="26">
        <v>0</v>
      </c>
      <c r="K31" s="31">
        <v>0</v>
      </c>
      <c r="L31" s="31">
        <v>0</v>
      </c>
      <c r="M31" s="29">
        <v>5</v>
      </c>
      <c r="N31" s="29">
        <v>0</v>
      </c>
      <c r="O31" s="31">
        <v>10</v>
      </c>
      <c r="P31" s="31">
        <v>0</v>
      </c>
      <c r="Q31" s="29">
        <v>5</v>
      </c>
      <c r="R31" s="31">
        <v>0</v>
      </c>
      <c r="S31" s="30">
        <f t="shared" si="0"/>
        <v>739</v>
      </c>
    </row>
    <row r="32" spans="1:19" ht="64.5" thickBot="1">
      <c r="A32" s="26">
        <v>28</v>
      </c>
      <c r="B32" s="49" t="s">
        <v>584</v>
      </c>
      <c r="C32" s="8">
        <v>455</v>
      </c>
      <c r="D32" s="8">
        <v>256</v>
      </c>
      <c r="E32" s="26">
        <v>21</v>
      </c>
      <c r="F32" s="26">
        <v>0</v>
      </c>
      <c r="G32" s="28">
        <f t="shared" si="1"/>
        <v>732</v>
      </c>
      <c r="H32" s="26">
        <v>0</v>
      </c>
      <c r="I32" s="26">
        <v>0</v>
      </c>
      <c r="J32" s="26">
        <v>0</v>
      </c>
      <c r="K32" s="31">
        <v>0</v>
      </c>
      <c r="L32" s="31">
        <v>0</v>
      </c>
      <c r="M32" s="29">
        <v>5</v>
      </c>
      <c r="N32" s="29">
        <v>0</v>
      </c>
      <c r="O32" s="31">
        <v>10</v>
      </c>
      <c r="P32" s="31">
        <v>0</v>
      </c>
      <c r="Q32" s="29">
        <v>5</v>
      </c>
      <c r="R32" s="31">
        <v>0</v>
      </c>
      <c r="S32" s="30">
        <f t="shared" si="0"/>
        <v>752</v>
      </c>
    </row>
    <row r="33" ht="15">
      <c r="A33" s="26"/>
    </row>
    <row r="34" ht="15">
      <c r="A34" t="s">
        <v>585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S29"/>
    </sheetView>
  </sheetViews>
  <sheetFormatPr defaultColWidth="9.140625" defaultRowHeight="15"/>
  <sheetData>
    <row r="1" spans="1:19" ht="18.75">
      <c r="A1" s="303" t="s">
        <v>586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17196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51.75" thickBot="1">
      <c r="A5" s="26">
        <v>1</v>
      </c>
      <c r="B5" s="158" t="s">
        <v>587</v>
      </c>
      <c r="C5" s="26">
        <v>295</v>
      </c>
      <c r="D5" s="26">
        <v>328</v>
      </c>
      <c r="E5" s="26">
        <v>57</v>
      </c>
      <c r="F5" s="26"/>
      <c r="G5" s="28">
        <v>680</v>
      </c>
      <c r="H5" s="26"/>
      <c r="I5" s="26"/>
      <c r="J5" s="26"/>
      <c r="K5" s="29">
        <v>40</v>
      </c>
      <c r="L5" s="29"/>
      <c r="M5" s="29">
        <v>15</v>
      </c>
      <c r="N5" s="29"/>
      <c r="O5" s="29"/>
      <c r="P5" s="29"/>
      <c r="Q5" s="29"/>
      <c r="R5" s="29"/>
      <c r="S5" s="30">
        <v>735</v>
      </c>
    </row>
    <row r="6" spans="1:19" ht="39" thickBot="1">
      <c r="A6" s="26">
        <v>2</v>
      </c>
      <c r="B6" s="159" t="s">
        <v>588</v>
      </c>
      <c r="C6" s="26">
        <v>110</v>
      </c>
      <c r="D6" s="26">
        <v>428</v>
      </c>
      <c r="E6" s="26">
        <v>96</v>
      </c>
      <c r="F6" s="26"/>
      <c r="G6" s="28">
        <v>634</v>
      </c>
      <c r="H6" s="26">
        <v>-20</v>
      </c>
      <c r="I6" s="26"/>
      <c r="J6" s="26"/>
      <c r="K6" s="31">
        <v>20</v>
      </c>
      <c r="L6" s="31"/>
      <c r="M6" s="29">
        <v>15</v>
      </c>
      <c r="N6" s="29"/>
      <c r="O6" s="31"/>
      <c r="P6" s="31"/>
      <c r="Q6" s="29">
        <v>5</v>
      </c>
      <c r="R6" s="31">
        <v>2</v>
      </c>
      <c r="S6" s="30">
        <v>656</v>
      </c>
    </row>
    <row r="7" spans="1:19" ht="51.75" thickBot="1">
      <c r="A7" s="26">
        <v>3</v>
      </c>
      <c r="B7" s="159" t="s">
        <v>589</v>
      </c>
      <c r="C7" s="26">
        <v>535</v>
      </c>
      <c r="D7" s="26">
        <v>208</v>
      </c>
      <c r="E7" s="26"/>
      <c r="F7" s="26"/>
      <c r="G7" s="28">
        <v>743</v>
      </c>
      <c r="H7" s="26"/>
      <c r="I7" s="26"/>
      <c r="J7" s="26"/>
      <c r="K7" s="31"/>
      <c r="L7" s="31"/>
      <c r="M7" s="29">
        <v>10</v>
      </c>
      <c r="N7" s="29"/>
      <c r="O7" s="31"/>
      <c r="P7" s="31"/>
      <c r="Q7" s="29"/>
      <c r="R7" s="31"/>
      <c r="S7" s="30">
        <v>753</v>
      </c>
    </row>
    <row r="8" spans="1:19" ht="51.75" thickBot="1">
      <c r="A8" s="26">
        <v>4</v>
      </c>
      <c r="B8" s="159" t="s">
        <v>590</v>
      </c>
      <c r="C8" s="26">
        <v>355</v>
      </c>
      <c r="D8" s="26">
        <v>308</v>
      </c>
      <c r="E8" s="26">
        <v>42</v>
      </c>
      <c r="F8" s="26"/>
      <c r="G8" s="28">
        <v>705</v>
      </c>
      <c r="H8" s="26"/>
      <c r="I8" s="26"/>
      <c r="J8" s="26"/>
      <c r="K8" s="31">
        <v>20</v>
      </c>
      <c r="L8" s="31"/>
      <c r="M8" s="29">
        <v>18</v>
      </c>
      <c r="N8" s="29"/>
      <c r="O8" s="31"/>
      <c r="P8" s="31"/>
      <c r="Q8" s="29"/>
      <c r="R8" s="31"/>
      <c r="S8" s="30">
        <v>743</v>
      </c>
    </row>
    <row r="9" spans="1:19" ht="64.5" thickBot="1">
      <c r="A9" s="26">
        <v>5</v>
      </c>
      <c r="B9" s="159" t="s">
        <v>591</v>
      </c>
      <c r="C9" s="26">
        <v>60</v>
      </c>
      <c r="D9" s="26">
        <v>408</v>
      </c>
      <c r="E9" s="26">
        <v>96</v>
      </c>
      <c r="F9" s="26"/>
      <c r="G9" s="28">
        <v>564</v>
      </c>
      <c r="H9" s="26"/>
      <c r="I9" s="26"/>
      <c r="J9" s="26"/>
      <c r="K9" s="31"/>
      <c r="L9" s="31"/>
      <c r="M9" s="29">
        <v>20</v>
      </c>
      <c r="N9" s="29"/>
      <c r="O9" s="31"/>
      <c r="P9" s="31"/>
      <c r="Q9" s="29">
        <v>5</v>
      </c>
      <c r="R9" s="31">
        <v>2</v>
      </c>
      <c r="S9" s="30">
        <v>591</v>
      </c>
    </row>
    <row r="10" spans="1:19" ht="51.75" thickBot="1">
      <c r="A10" s="26">
        <v>6</v>
      </c>
      <c r="B10" s="159" t="s">
        <v>592</v>
      </c>
      <c r="C10" s="26">
        <v>20</v>
      </c>
      <c r="D10" s="26">
        <v>116</v>
      </c>
      <c r="E10" s="26">
        <v>306</v>
      </c>
      <c r="F10" s="26">
        <v>-10</v>
      </c>
      <c r="G10" s="28">
        <v>432</v>
      </c>
      <c r="H10" s="26"/>
      <c r="I10" s="26">
        <v>10</v>
      </c>
      <c r="J10" s="26"/>
      <c r="K10" s="31"/>
      <c r="L10" s="31">
        <v>10</v>
      </c>
      <c r="M10" s="29">
        <v>10</v>
      </c>
      <c r="N10" s="29"/>
      <c r="O10" s="31"/>
      <c r="P10" s="31"/>
      <c r="Q10" s="29">
        <v>5</v>
      </c>
      <c r="R10" s="31"/>
      <c r="S10" s="30">
        <v>467</v>
      </c>
    </row>
    <row r="11" spans="1:19" ht="51.75" thickBot="1">
      <c r="A11" s="26">
        <v>7</v>
      </c>
      <c r="B11" s="159" t="s">
        <v>593</v>
      </c>
      <c r="C11" s="26">
        <v>65</v>
      </c>
      <c r="D11" s="26">
        <v>408</v>
      </c>
      <c r="E11" s="26">
        <v>36</v>
      </c>
      <c r="F11" s="26"/>
      <c r="G11" s="28">
        <v>509</v>
      </c>
      <c r="H11" s="26"/>
      <c r="I11" s="26"/>
      <c r="J11" s="26"/>
      <c r="K11" s="31"/>
      <c r="L11" s="31"/>
      <c r="M11" s="29">
        <v>10</v>
      </c>
      <c r="N11" s="29"/>
      <c r="O11" s="31"/>
      <c r="P11" s="31"/>
      <c r="Q11" s="29">
        <v>5</v>
      </c>
      <c r="R11" s="31"/>
      <c r="S11" s="30">
        <v>524</v>
      </c>
    </row>
    <row r="12" spans="1:19" ht="51.75" thickBot="1">
      <c r="A12" s="26">
        <v>8</v>
      </c>
      <c r="B12" s="159" t="s">
        <v>594</v>
      </c>
      <c r="C12" s="26">
        <v>220</v>
      </c>
      <c r="D12" s="26">
        <v>440</v>
      </c>
      <c r="E12" s="26">
        <v>39</v>
      </c>
      <c r="F12" s="26"/>
      <c r="G12" s="28">
        <v>699</v>
      </c>
      <c r="H12" s="26"/>
      <c r="I12" s="26"/>
      <c r="J12" s="26"/>
      <c r="K12" s="31">
        <v>20</v>
      </c>
      <c r="L12" s="31"/>
      <c r="M12" s="29">
        <v>10</v>
      </c>
      <c r="N12" s="29"/>
      <c r="O12" s="31"/>
      <c r="P12" s="31"/>
      <c r="Q12" s="29"/>
      <c r="R12" s="31"/>
      <c r="S12" s="30">
        <v>729</v>
      </c>
    </row>
    <row r="13" spans="1:19" ht="51.75" thickBot="1">
      <c r="A13" s="32">
        <v>9</v>
      </c>
      <c r="B13" s="159" t="s">
        <v>595</v>
      </c>
      <c r="C13" s="26">
        <v>205</v>
      </c>
      <c r="D13" s="26">
        <v>244</v>
      </c>
      <c r="E13" s="26">
        <v>165</v>
      </c>
      <c r="F13" s="32"/>
      <c r="G13" s="28">
        <v>614</v>
      </c>
      <c r="H13" s="32"/>
      <c r="I13" s="32"/>
      <c r="J13" s="32"/>
      <c r="K13" s="34">
        <v>20</v>
      </c>
      <c r="L13" s="34"/>
      <c r="M13" s="32">
        <v>20</v>
      </c>
      <c r="N13" s="32"/>
      <c r="O13" s="34"/>
      <c r="P13" s="34"/>
      <c r="Q13" s="32"/>
      <c r="R13" s="34">
        <v>2</v>
      </c>
      <c r="S13" s="30">
        <v>656</v>
      </c>
    </row>
    <row r="14" spans="1:19" ht="64.5" thickBot="1">
      <c r="A14" s="32">
        <v>10</v>
      </c>
      <c r="B14" s="159" t="s">
        <v>596</v>
      </c>
      <c r="C14" s="26">
        <v>395</v>
      </c>
      <c r="D14" s="26">
        <v>304</v>
      </c>
      <c r="E14" s="26">
        <v>21</v>
      </c>
      <c r="F14" s="32"/>
      <c r="G14" s="28">
        <v>720</v>
      </c>
      <c r="H14" s="32"/>
      <c r="I14" s="32"/>
      <c r="J14" s="32"/>
      <c r="K14" s="34">
        <v>45</v>
      </c>
      <c r="L14" s="34"/>
      <c r="M14" s="32">
        <v>33</v>
      </c>
      <c r="N14" s="32"/>
      <c r="O14" s="34"/>
      <c r="P14" s="34"/>
      <c r="Q14" s="32"/>
      <c r="R14" s="34">
        <v>2</v>
      </c>
      <c r="S14" s="30">
        <v>800</v>
      </c>
    </row>
    <row r="15" spans="1:19" ht="26.25" thickBot="1">
      <c r="A15" s="26">
        <v>11</v>
      </c>
      <c r="B15" s="159" t="s">
        <v>597</v>
      </c>
      <c r="C15" s="26">
        <v>285</v>
      </c>
      <c r="D15" s="26">
        <v>324</v>
      </c>
      <c r="E15" s="26">
        <v>51</v>
      </c>
      <c r="F15" s="26"/>
      <c r="G15" s="28">
        <v>660</v>
      </c>
      <c r="H15" s="26">
        <v>-10</v>
      </c>
      <c r="I15" s="26"/>
      <c r="J15" s="26"/>
      <c r="K15" s="31">
        <v>20</v>
      </c>
      <c r="L15" s="31"/>
      <c r="M15" s="29">
        <v>10</v>
      </c>
      <c r="N15" s="29"/>
      <c r="O15" s="31">
        <v>-5</v>
      </c>
      <c r="P15" s="31"/>
      <c r="Q15" s="29"/>
      <c r="R15" s="31"/>
      <c r="S15" s="30">
        <v>675</v>
      </c>
    </row>
    <row r="16" spans="1:19" ht="26.25" thickBot="1">
      <c r="A16" s="32">
        <v>12</v>
      </c>
      <c r="B16" s="159" t="s">
        <v>598</v>
      </c>
      <c r="C16" s="26">
        <v>140</v>
      </c>
      <c r="D16" s="26">
        <v>376</v>
      </c>
      <c r="E16" s="26">
        <v>90</v>
      </c>
      <c r="F16" s="32"/>
      <c r="G16" s="28">
        <v>606</v>
      </c>
      <c r="H16" s="32">
        <v>-10</v>
      </c>
      <c r="I16" s="32"/>
      <c r="J16" s="32"/>
      <c r="K16" s="34"/>
      <c r="L16" s="34"/>
      <c r="M16" s="32">
        <v>10</v>
      </c>
      <c r="N16" s="32"/>
      <c r="O16" s="34"/>
      <c r="P16" s="34"/>
      <c r="Q16" s="32">
        <v>5</v>
      </c>
      <c r="R16" s="34"/>
      <c r="S16" s="30">
        <v>611</v>
      </c>
    </row>
    <row r="17" spans="1:19" ht="51.75" thickBot="1">
      <c r="A17" s="26">
        <v>13</v>
      </c>
      <c r="B17" s="159" t="s">
        <v>599</v>
      </c>
      <c r="C17" s="26">
        <v>60</v>
      </c>
      <c r="D17" s="26">
        <v>240</v>
      </c>
      <c r="E17" s="26">
        <v>228</v>
      </c>
      <c r="F17" s="26">
        <v>-38</v>
      </c>
      <c r="G17" s="28">
        <v>490</v>
      </c>
      <c r="H17" s="26"/>
      <c r="I17" s="26"/>
      <c r="J17" s="26"/>
      <c r="K17" s="31"/>
      <c r="L17" s="31"/>
      <c r="M17" s="29">
        <v>18</v>
      </c>
      <c r="N17" s="29"/>
      <c r="O17" s="31"/>
      <c r="P17" s="31"/>
      <c r="Q17" s="29">
        <v>5</v>
      </c>
      <c r="R17" s="31">
        <v>2</v>
      </c>
      <c r="S17" s="30">
        <v>515</v>
      </c>
    </row>
    <row r="18" spans="1:19" ht="64.5" thickBot="1">
      <c r="A18" s="26">
        <v>14</v>
      </c>
      <c r="B18" s="159" t="s">
        <v>600</v>
      </c>
      <c r="C18" s="26">
        <v>385</v>
      </c>
      <c r="D18" s="26">
        <v>320</v>
      </c>
      <c r="E18" s="26"/>
      <c r="F18" s="26"/>
      <c r="G18" s="28">
        <v>705</v>
      </c>
      <c r="H18" s="26"/>
      <c r="I18" s="26"/>
      <c r="J18" s="26"/>
      <c r="K18" s="31">
        <v>90</v>
      </c>
      <c r="L18" s="31"/>
      <c r="M18" s="29">
        <v>23</v>
      </c>
      <c r="N18" s="29"/>
      <c r="O18" s="31"/>
      <c r="P18" s="31"/>
      <c r="Q18" s="29">
        <v>5</v>
      </c>
      <c r="R18" s="31">
        <v>2</v>
      </c>
      <c r="S18" s="30">
        <v>825</v>
      </c>
    </row>
    <row r="19" spans="1:19" ht="51.75" thickBot="1">
      <c r="A19" s="26">
        <v>15</v>
      </c>
      <c r="B19" s="159" t="s">
        <v>601</v>
      </c>
      <c r="C19" s="26">
        <v>360</v>
      </c>
      <c r="D19" s="26">
        <v>216</v>
      </c>
      <c r="E19" s="26">
        <v>117</v>
      </c>
      <c r="F19" s="26"/>
      <c r="G19" s="28">
        <v>693</v>
      </c>
      <c r="H19" s="26">
        <v>-30</v>
      </c>
      <c r="I19" s="26"/>
      <c r="J19" s="26"/>
      <c r="K19" s="31">
        <v>80</v>
      </c>
      <c r="L19" s="31"/>
      <c r="M19" s="29">
        <v>23</v>
      </c>
      <c r="N19" s="29"/>
      <c r="O19" s="31"/>
      <c r="P19" s="31"/>
      <c r="Q19" s="29">
        <v>5</v>
      </c>
      <c r="R19" s="31">
        <v>2</v>
      </c>
      <c r="S19" s="30">
        <v>773</v>
      </c>
    </row>
    <row r="20" spans="1:19" ht="51.75" thickBot="1">
      <c r="A20" s="26">
        <v>16</v>
      </c>
      <c r="B20" s="159" t="s">
        <v>602</v>
      </c>
      <c r="C20" s="26">
        <v>245</v>
      </c>
      <c r="D20" s="26">
        <v>216</v>
      </c>
      <c r="E20" s="26">
        <v>132</v>
      </c>
      <c r="F20" s="26">
        <v>-8</v>
      </c>
      <c r="G20" s="28">
        <v>585</v>
      </c>
      <c r="H20" s="26">
        <v>-10</v>
      </c>
      <c r="I20" s="26"/>
      <c r="J20" s="26"/>
      <c r="K20" s="31">
        <v>80</v>
      </c>
      <c r="L20" s="31"/>
      <c r="M20" s="29">
        <v>20</v>
      </c>
      <c r="N20" s="29"/>
      <c r="O20" s="31"/>
      <c r="P20" s="31"/>
      <c r="Q20" s="29">
        <v>5</v>
      </c>
      <c r="R20" s="31">
        <v>2</v>
      </c>
      <c r="S20" s="30">
        <v>682</v>
      </c>
    </row>
    <row r="21" spans="1:19" ht="51.75" thickBot="1">
      <c r="A21" s="26">
        <v>17</v>
      </c>
      <c r="B21" s="159" t="s">
        <v>603</v>
      </c>
      <c r="C21" s="26">
        <v>645</v>
      </c>
      <c r="D21" s="26">
        <v>104</v>
      </c>
      <c r="E21" s="26">
        <v>3</v>
      </c>
      <c r="F21" s="26"/>
      <c r="G21" s="28">
        <v>752</v>
      </c>
      <c r="H21" s="26">
        <v>-30</v>
      </c>
      <c r="I21" s="26"/>
      <c r="J21" s="26"/>
      <c r="K21" s="31">
        <v>85</v>
      </c>
      <c r="L21" s="31"/>
      <c r="M21" s="29">
        <v>21</v>
      </c>
      <c r="N21" s="29"/>
      <c r="O21" s="31"/>
      <c r="P21" s="31"/>
      <c r="Q21" s="29">
        <v>5</v>
      </c>
      <c r="R21" s="31">
        <v>2</v>
      </c>
      <c r="S21" s="30">
        <v>835</v>
      </c>
    </row>
    <row r="22" spans="1:19" ht="51.75" thickBot="1">
      <c r="A22" s="26">
        <v>18</v>
      </c>
      <c r="B22" s="159" t="s">
        <v>604</v>
      </c>
      <c r="C22" s="26">
        <v>80</v>
      </c>
      <c r="D22" s="26">
        <v>320</v>
      </c>
      <c r="E22" s="26">
        <v>174</v>
      </c>
      <c r="F22" s="26"/>
      <c r="G22" s="28">
        <v>574</v>
      </c>
      <c r="H22" s="26">
        <v>-10</v>
      </c>
      <c r="I22" s="26"/>
      <c r="J22" s="26"/>
      <c r="K22" s="31">
        <v>40</v>
      </c>
      <c r="L22" s="31"/>
      <c r="M22" s="29">
        <v>10</v>
      </c>
      <c r="N22" s="29"/>
      <c r="O22" s="31"/>
      <c r="P22" s="31"/>
      <c r="Q22" s="29">
        <v>5</v>
      </c>
      <c r="R22" s="31"/>
      <c r="S22" s="30">
        <v>619</v>
      </c>
    </row>
    <row r="23" spans="1:19" ht="51.75" thickBot="1">
      <c r="A23" s="26">
        <v>19</v>
      </c>
      <c r="B23" s="159" t="s">
        <v>605</v>
      </c>
      <c r="C23" s="26">
        <v>575</v>
      </c>
      <c r="D23" s="26">
        <v>112</v>
      </c>
      <c r="E23" s="26">
        <v>6</v>
      </c>
      <c r="F23" s="26"/>
      <c r="G23" s="28">
        <v>693</v>
      </c>
      <c r="H23" s="26"/>
      <c r="I23" s="26"/>
      <c r="J23" s="26"/>
      <c r="K23" s="31">
        <v>40</v>
      </c>
      <c r="L23" s="31"/>
      <c r="M23" s="29">
        <v>10</v>
      </c>
      <c r="N23" s="29"/>
      <c r="O23" s="31"/>
      <c r="P23" s="31"/>
      <c r="Q23" s="29">
        <v>5</v>
      </c>
      <c r="R23" s="31"/>
      <c r="S23" s="30">
        <v>748</v>
      </c>
    </row>
    <row r="24" spans="1:19" ht="51.75" thickBot="1">
      <c r="A24" s="26">
        <v>20</v>
      </c>
      <c r="B24" s="159" t="s">
        <v>606</v>
      </c>
      <c r="C24" s="26">
        <v>510</v>
      </c>
      <c r="D24" s="26">
        <v>212</v>
      </c>
      <c r="E24" s="26">
        <v>6</v>
      </c>
      <c r="F24" s="26"/>
      <c r="G24" s="28">
        <v>728</v>
      </c>
      <c r="H24" s="26"/>
      <c r="I24" s="26"/>
      <c r="J24" s="26"/>
      <c r="K24" s="31">
        <v>80</v>
      </c>
      <c r="L24" s="31"/>
      <c r="M24" s="29">
        <v>18</v>
      </c>
      <c r="N24" s="29"/>
      <c r="O24" s="31"/>
      <c r="P24" s="31"/>
      <c r="Q24" s="29">
        <v>5</v>
      </c>
      <c r="R24" s="31"/>
      <c r="S24" s="30">
        <v>831</v>
      </c>
    </row>
    <row r="25" spans="1:19" ht="64.5" thickBot="1">
      <c r="A25" s="26">
        <v>21</v>
      </c>
      <c r="B25" s="159" t="s">
        <v>607</v>
      </c>
      <c r="C25" s="8">
        <v>220</v>
      </c>
      <c r="D25" s="8">
        <v>280</v>
      </c>
      <c r="E25" s="26">
        <v>111</v>
      </c>
      <c r="F25" s="26"/>
      <c r="G25" s="28">
        <v>611</v>
      </c>
      <c r="H25" s="26">
        <v>-20</v>
      </c>
      <c r="I25" s="26"/>
      <c r="J25" s="26"/>
      <c r="K25" s="31">
        <v>70</v>
      </c>
      <c r="L25" s="31"/>
      <c r="M25" s="29">
        <v>13</v>
      </c>
      <c r="N25" s="29"/>
      <c r="O25" s="31"/>
      <c r="P25" s="31"/>
      <c r="Q25" s="29"/>
      <c r="R25" s="31"/>
      <c r="S25" s="30">
        <v>674</v>
      </c>
    </row>
    <row r="26" spans="1:19" ht="51.75" thickBot="1">
      <c r="A26" s="26">
        <v>22</v>
      </c>
      <c r="B26" s="159" t="s">
        <v>608</v>
      </c>
      <c r="C26" s="8">
        <v>620</v>
      </c>
      <c r="D26" s="8">
        <v>152</v>
      </c>
      <c r="E26" s="26"/>
      <c r="F26" s="26"/>
      <c r="G26" s="28">
        <v>772</v>
      </c>
      <c r="H26" s="26"/>
      <c r="I26" s="26"/>
      <c r="J26" s="26"/>
      <c r="K26" s="31">
        <v>40</v>
      </c>
      <c r="L26" s="31"/>
      <c r="M26" s="29">
        <v>10</v>
      </c>
      <c r="N26" s="29"/>
      <c r="O26" s="31"/>
      <c r="P26" s="31"/>
      <c r="Q26" s="29">
        <v>5</v>
      </c>
      <c r="R26" s="31"/>
      <c r="S26" s="30">
        <v>827</v>
      </c>
    </row>
    <row r="27" spans="1:19" ht="39" thickBot="1">
      <c r="A27" s="26">
        <v>23</v>
      </c>
      <c r="B27" s="159" t="s">
        <v>609</v>
      </c>
      <c r="C27" s="8">
        <v>475</v>
      </c>
      <c r="D27" s="8">
        <v>196</v>
      </c>
      <c r="E27" s="26">
        <v>18</v>
      </c>
      <c r="F27" s="26"/>
      <c r="G27" s="28">
        <v>689</v>
      </c>
      <c r="H27" s="26"/>
      <c r="I27" s="26"/>
      <c r="J27" s="26"/>
      <c r="K27" s="31">
        <v>80</v>
      </c>
      <c r="L27" s="31"/>
      <c r="M27" s="29">
        <v>15</v>
      </c>
      <c r="N27" s="29"/>
      <c r="O27" s="31"/>
      <c r="P27" s="31"/>
      <c r="Q27" s="29"/>
      <c r="R27" s="31"/>
      <c r="S27" s="30">
        <v>784</v>
      </c>
    </row>
    <row r="28" spans="1:19" ht="39" thickBot="1">
      <c r="A28" s="26">
        <v>24</v>
      </c>
      <c r="B28" s="159" t="s">
        <v>610</v>
      </c>
      <c r="C28" s="8">
        <v>50</v>
      </c>
      <c r="D28" s="8">
        <v>132</v>
      </c>
      <c r="E28" s="26">
        <v>183</v>
      </c>
      <c r="F28" s="26"/>
      <c r="G28" s="28">
        <v>365</v>
      </c>
      <c r="H28" s="26">
        <v>-20</v>
      </c>
      <c r="I28" s="26"/>
      <c r="J28" s="26"/>
      <c r="K28" s="31">
        <v>35</v>
      </c>
      <c r="L28" s="31"/>
      <c r="M28" s="29">
        <v>23</v>
      </c>
      <c r="N28" s="29"/>
      <c r="O28" s="31">
        <v>-5</v>
      </c>
      <c r="P28" s="31"/>
      <c r="Q28" s="29">
        <v>5</v>
      </c>
      <c r="R28" s="31">
        <v>2</v>
      </c>
      <c r="S28" s="30">
        <v>405</v>
      </c>
    </row>
    <row r="29" spans="1:19" ht="64.5" thickBot="1">
      <c r="A29" s="26">
        <v>25</v>
      </c>
      <c r="B29" s="159" t="s">
        <v>611</v>
      </c>
      <c r="C29" s="8">
        <v>340</v>
      </c>
      <c r="D29" s="8">
        <v>180</v>
      </c>
      <c r="E29" s="26">
        <v>135</v>
      </c>
      <c r="F29" s="26"/>
      <c r="G29" s="28">
        <v>655</v>
      </c>
      <c r="H29" s="26"/>
      <c r="I29" s="26"/>
      <c r="J29" s="26"/>
      <c r="K29" s="31">
        <v>65</v>
      </c>
      <c r="L29" s="31"/>
      <c r="M29" s="29">
        <v>13</v>
      </c>
      <c r="N29" s="29"/>
      <c r="O29" s="31"/>
      <c r="P29" s="31"/>
      <c r="Q29" s="29">
        <v>5</v>
      </c>
      <c r="R29" s="31"/>
      <c r="S29" s="30">
        <v>738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S30"/>
    </sheetView>
  </sheetViews>
  <sheetFormatPr defaultColWidth="9.140625" defaultRowHeight="15"/>
  <sheetData>
    <row r="1" spans="1:19" ht="18.75">
      <c r="A1" s="303" t="s">
        <v>612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SUM(S5:S29)</f>
        <v>5309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22.5">
      <c r="A5" s="26">
        <v>1</v>
      </c>
      <c r="B5" s="160" t="s">
        <v>613</v>
      </c>
      <c r="C5" s="26">
        <v>25</v>
      </c>
      <c r="D5" s="26">
        <v>144</v>
      </c>
      <c r="E5" s="26">
        <v>18</v>
      </c>
      <c r="F5" s="26">
        <v>0</v>
      </c>
      <c r="G5" s="28">
        <v>187</v>
      </c>
      <c r="H5" s="26">
        <v>0</v>
      </c>
      <c r="I5" s="26">
        <v>0</v>
      </c>
      <c r="J5" s="26">
        <v>0</v>
      </c>
      <c r="K5" s="29">
        <v>0</v>
      </c>
      <c r="L5" s="29">
        <v>5</v>
      </c>
      <c r="M5" s="29">
        <v>5</v>
      </c>
      <c r="N5" s="29">
        <v>0</v>
      </c>
      <c r="O5" s="29">
        <v>0</v>
      </c>
      <c r="P5" s="29">
        <v>0</v>
      </c>
      <c r="Q5" s="29">
        <v>0</v>
      </c>
      <c r="R5" s="29">
        <v>2</v>
      </c>
      <c r="S5" s="30">
        <v>199</v>
      </c>
    </row>
    <row r="6" spans="1:19" ht="22.5">
      <c r="A6" s="26">
        <v>2</v>
      </c>
      <c r="B6" s="105" t="s">
        <v>614</v>
      </c>
      <c r="C6" s="26">
        <v>225</v>
      </c>
      <c r="D6" s="26">
        <v>48</v>
      </c>
      <c r="E6" s="26">
        <v>0</v>
      </c>
      <c r="F6" s="26">
        <v>0</v>
      </c>
      <c r="G6" s="28">
        <v>273</v>
      </c>
      <c r="H6" s="26">
        <v>0</v>
      </c>
      <c r="I6" s="26">
        <v>0</v>
      </c>
      <c r="J6" s="26">
        <v>0</v>
      </c>
      <c r="K6" s="31">
        <v>0</v>
      </c>
      <c r="L6" s="31">
        <v>5</v>
      </c>
      <c r="M6" s="29">
        <v>5</v>
      </c>
      <c r="N6" s="29">
        <v>0</v>
      </c>
      <c r="O6" s="31">
        <v>0</v>
      </c>
      <c r="P6" s="31">
        <v>0</v>
      </c>
      <c r="Q6" s="29">
        <v>5</v>
      </c>
      <c r="R6" s="31">
        <v>2</v>
      </c>
      <c r="S6" s="30">
        <v>290</v>
      </c>
    </row>
    <row r="7" spans="1:19" ht="22.5">
      <c r="A7" s="26">
        <v>3</v>
      </c>
      <c r="B7" s="105" t="s">
        <v>615</v>
      </c>
      <c r="C7" s="26">
        <v>75</v>
      </c>
      <c r="D7" s="26">
        <v>144</v>
      </c>
      <c r="E7" s="26"/>
      <c r="F7" s="26">
        <v>0</v>
      </c>
      <c r="G7" s="28">
        <v>219</v>
      </c>
      <c r="H7" s="26">
        <v>0</v>
      </c>
      <c r="I7" s="26">
        <v>0</v>
      </c>
      <c r="J7" s="26">
        <v>0</v>
      </c>
      <c r="K7" s="31">
        <v>0</v>
      </c>
      <c r="L7" s="31">
        <v>5</v>
      </c>
      <c r="M7" s="29">
        <v>5</v>
      </c>
      <c r="N7" s="29">
        <v>3</v>
      </c>
      <c r="O7" s="31">
        <v>0</v>
      </c>
      <c r="P7" s="31">
        <v>0</v>
      </c>
      <c r="Q7" s="29">
        <v>5</v>
      </c>
      <c r="R7" s="31">
        <v>2</v>
      </c>
      <c r="S7" s="30">
        <v>3</v>
      </c>
    </row>
    <row r="8" spans="1:19" ht="22.5">
      <c r="A8" s="26">
        <v>4</v>
      </c>
      <c r="B8" s="105" t="s">
        <v>616</v>
      </c>
      <c r="C8" s="26">
        <v>150</v>
      </c>
      <c r="D8" s="26">
        <v>120</v>
      </c>
      <c r="E8" s="26">
        <v>0</v>
      </c>
      <c r="F8" s="26">
        <v>0</v>
      </c>
      <c r="G8" s="28">
        <v>270</v>
      </c>
      <c r="H8" s="26">
        <v>0</v>
      </c>
      <c r="I8" s="26">
        <v>0</v>
      </c>
      <c r="J8" s="26">
        <v>0</v>
      </c>
      <c r="K8" s="31">
        <v>0</v>
      </c>
      <c r="L8" s="31">
        <v>5</v>
      </c>
      <c r="M8" s="29">
        <v>5</v>
      </c>
      <c r="N8" s="29">
        <v>0</v>
      </c>
      <c r="O8" s="31">
        <v>0</v>
      </c>
      <c r="P8" s="31">
        <v>0</v>
      </c>
      <c r="Q8" s="29">
        <v>5</v>
      </c>
      <c r="R8" s="31">
        <v>2</v>
      </c>
      <c r="S8" s="30">
        <v>236</v>
      </c>
    </row>
    <row r="9" spans="1:19" ht="22.5">
      <c r="A9" s="26">
        <v>5</v>
      </c>
      <c r="B9" s="105" t="s">
        <v>617</v>
      </c>
      <c r="C9" s="26">
        <v>25</v>
      </c>
      <c r="D9" s="26">
        <v>160</v>
      </c>
      <c r="E9" s="26">
        <v>27</v>
      </c>
      <c r="F9" s="26">
        <v>0</v>
      </c>
      <c r="G9" s="28">
        <v>212</v>
      </c>
      <c r="H9" s="26">
        <v>-60</v>
      </c>
      <c r="I9" s="26">
        <v>0</v>
      </c>
      <c r="J9" s="26">
        <v>0</v>
      </c>
      <c r="K9" s="31">
        <v>0</v>
      </c>
      <c r="L9" s="31">
        <v>5</v>
      </c>
      <c r="M9" s="29">
        <v>5</v>
      </c>
      <c r="N9" s="29">
        <v>0</v>
      </c>
      <c r="O9" s="31">
        <v>0</v>
      </c>
      <c r="P9" s="31">
        <v>0</v>
      </c>
      <c r="Q9" s="29">
        <v>0</v>
      </c>
      <c r="R9" s="31">
        <v>2</v>
      </c>
      <c r="S9" s="30">
        <v>222</v>
      </c>
    </row>
    <row r="10" spans="1:19" ht="22.5">
      <c r="A10" s="26">
        <v>6</v>
      </c>
      <c r="B10" s="105" t="s">
        <v>618</v>
      </c>
      <c r="C10" s="26">
        <v>0</v>
      </c>
      <c r="D10" s="26">
        <v>80</v>
      </c>
      <c r="E10" s="26">
        <v>72</v>
      </c>
      <c r="F10" s="26">
        <v>0</v>
      </c>
      <c r="G10" s="28">
        <v>152</v>
      </c>
      <c r="H10" s="26">
        <v>0</v>
      </c>
      <c r="I10" s="26">
        <v>0</v>
      </c>
      <c r="J10" s="26">
        <v>0</v>
      </c>
      <c r="K10" s="31">
        <v>0</v>
      </c>
      <c r="L10" s="31">
        <v>0</v>
      </c>
      <c r="M10" s="29">
        <v>0</v>
      </c>
      <c r="N10" s="29">
        <v>0</v>
      </c>
      <c r="O10" s="31">
        <v>0</v>
      </c>
      <c r="P10" s="31">
        <v>0</v>
      </c>
      <c r="Q10" s="29">
        <v>0</v>
      </c>
      <c r="R10" s="31">
        <v>0</v>
      </c>
      <c r="S10" s="30">
        <v>152</v>
      </c>
    </row>
    <row r="11" spans="1:19" ht="22.5">
      <c r="A11" s="26">
        <v>7</v>
      </c>
      <c r="B11" s="105" t="s">
        <v>619</v>
      </c>
      <c r="C11" s="26">
        <v>150</v>
      </c>
      <c r="D11" s="26">
        <v>80</v>
      </c>
      <c r="E11" s="26">
        <v>6</v>
      </c>
      <c r="F11" s="26">
        <v>0</v>
      </c>
      <c r="G11" s="28">
        <v>236</v>
      </c>
      <c r="H11" s="26">
        <v>0</v>
      </c>
      <c r="I11" s="26">
        <v>0</v>
      </c>
      <c r="J11" s="26">
        <v>0</v>
      </c>
      <c r="K11" s="31">
        <v>0</v>
      </c>
      <c r="L11" s="31">
        <v>5</v>
      </c>
      <c r="M11" s="29">
        <v>5</v>
      </c>
      <c r="N11" s="29">
        <v>0</v>
      </c>
      <c r="O11" s="31">
        <v>0</v>
      </c>
      <c r="P11" s="31">
        <v>0</v>
      </c>
      <c r="Q11" s="29">
        <v>5</v>
      </c>
      <c r="R11" s="31">
        <v>2</v>
      </c>
      <c r="S11" s="30">
        <v>248</v>
      </c>
    </row>
    <row r="12" spans="1:19" ht="22.5">
      <c r="A12" s="26">
        <v>8</v>
      </c>
      <c r="B12" s="105" t="s">
        <v>620</v>
      </c>
      <c r="C12" s="26">
        <v>150</v>
      </c>
      <c r="D12" s="26">
        <v>96</v>
      </c>
      <c r="E12" s="26">
        <v>0</v>
      </c>
      <c r="F12" s="26">
        <v>0</v>
      </c>
      <c r="G12" s="28">
        <v>246</v>
      </c>
      <c r="H12" s="26">
        <v>0</v>
      </c>
      <c r="I12" s="26"/>
      <c r="J12" s="26">
        <v>0</v>
      </c>
      <c r="K12" s="31">
        <v>0</v>
      </c>
      <c r="L12" s="31">
        <v>5</v>
      </c>
      <c r="M12" s="29">
        <v>5</v>
      </c>
      <c r="N12" s="29">
        <v>3</v>
      </c>
      <c r="O12" s="31">
        <v>0</v>
      </c>
      <c r="P12" s="31">
        <v>0</v>
      </c>
      <c r="Q12" s="29">
        <v>0</v>
      </c>
      <c r="R12" s="31">
        <v>2</v>
      </c>
      <c r="S12" s="30">
        <v>3</v>
      </c>
    </row>
    <row r="13" spans="1:19" ht="22.5">
      <c r="A13" s="32">
        <v>9</v>
      </c>
      <c r="B13" s="105" t="s">
        <v>621</v>
      </c>
      <c r="C13" s="26">
        <v>100</v>
      </c>
      <c r="D13" s="26">
        <v>128</v>
      </c>
      <c r="E13" s="26">
        <v>0</v>
      </c>
      <c r="F13" s="32">
        <v>0</v>
      </c>
      <c r="G13" s="28">
        <v>228</v>
      </c>
      <c r="H13" s="32">
        <v>-10</v>
      </c>
      <c r="I13" s="32">
        <v>0</v>
      </c>
      <c r="J13" s="32">
        <v>0</v>
      </c>
      <c r="K13" s="34">
        <v>0</v>
      </c>
      <c r="L13" s="34">
        <v>5</v>
      </c>
      <c r="M13" s="32">
        <v>5</v>
      </c>
      <c r="N13" s="32">
        <v>0</v>
      </c>
      <c r="O13" s="34">
        <v>0</v>
      </c>
      <c r="P13" s="34">
        <v>0</v>
      </c>
      <c r="Q13" s="32">
        <v>5</v>
      </c>
      <c r="R13" s="34">
        <v>2</v>
      </c>
      <c r="S13" s="30">
        <v>263</v>
      </c>
    </row>
    <row r="14" spans="1:19" ht="22.5">
      <c r="A14" s="32">
        <v>10</v>
      </c>
      <c r="B14" s="105" t="s">
        <v>622</v>
      </c>
      <c r="C14" s="26">
        <v>25</v>
      </c>
      <c r="D14" s="26">
        <v>160</v>
      </c>
      <c r="E14" s="26">
        <v>6</v>
      </c>
      <c r="F14" s="32">
        <v>0</v>
      </c>
      <c r="G14" s="28">
        <v>185</v>
      </c>
      <c r="H14" s="32">
        <v>0</v>
      </c>
      <c r="I14" s="32">
        <v>0</v>
      </c>
      <c r="J14" s="32">
        <v>0</v>
      </c>
      <c r="K14" s="34">
        <v>0</v>
      </c>
      <c r="L14" s="34">
        <v>0</v>
      </c>
      <c r="M14" s="32">
        <v>0</v>
      </c>
      <c r="N14" s="32">
        <v>0</v>
      </c>
      <c r="O14" s="34">
        <v>0</v>
      </c>
      <c r="P14" s="34">
        <v>0</v>
      </c>
      <c r="Q14" s="32">
        <v>5</v>
      </c>
      <c r="R14" s="34">
        <v>2</v>
      </c>
      <c r="S14" s="30">
        <v>192</v>
      </c>
    </row>
    <row r="15" spans="1:19" ht="22.5">
      <c r="A15" s="26">
        <v>11</v>
      </c>
      <c r="B15" s="105" t="s">
        <v>623</v>
      </c>
      <c r="C15" s="26">
        <v>0</v>
      </c>
      <c r="D15" s="26">
        <v>64</v>
      </c>
      <c r="E15" s="26">
        <v>72</v>
      </c>
      <c r="F15" s="26">
        <v>0</v>
      </c>
      <c r="G15" s="28">
        <v>136</v>
      </c>
      <c r="H15" s="26">
        <v>0</v>
      </c>
      <c r="I15" s="26">
        <v>0</v>
      </c>
      <c r="J15" s="26">
        <v>0</v>
      </c>
      <c r="K15" s="31">
        <v>0</v>
      </c>
      <c r="L15" s="31">
        <v>5</v>
      </c>
      <c r="M15" s="29">
        <v>5</v>
      </c>
      <c r="N15" s="29">
        <v>0</v>
      </c>
      <c r="O15" s="31">
        <v>0</v>
      </c>
      <c r="P15" s="31">
        <v>0</v>
      </c>
      <c r="Q15" s="29">
        <v>0</v>
      </c>
      <c r="R15" s="31">
        <v>0</v>
      </c>
      <c r="S15" s="30">
        <v>146</v>
      </c>
    </row>
    <row r="16" spans="1:19" ht="22.5">
      <c r="A16" s="32">
        <v>12</v>
      </c>
      <c r="B16" s="105" t="s">
        <v>624</v>
      </c>
      <c r="C16" s="26">
        <v>75</v>
      </c>
      <c r="D16" s="26">
        <v>96</v>
      </c>
      <c r="E16" s="26">
        <v>27</v>
      </c>
      <c r="F16" s="32">
        <v>0</v>
      </c>
      <c r="G16" s="28">
        <v>198</v>
      </c>
      <c r="H16" s="32">
        <v>0</v>
      </c>
      <c r="I16" s="32">
        <v>0</v>
      </c>
      <c r="J16" s="32">
        <v>0</v>
      </c>
      <c r="K16" s="34">
        <v>0</v>
      </c>
      <c r="L16" s="34">
        <v>5</v>
      </c>
      <c r="M16" s="32">
        <v>5</v>
      </c>
      <c r="N16" s="32">
        <v>0</v>
      </c>
      <c r="O16" s="34">
        <v>0</v>
      </c>
      <c r="P16" s="34">
        <v>0</v>
      </c>
      <c r="Q16" s="32">
        <v>0</v>
      </c>
      <c r="R16" s="34">
        <v>2</v>
      </c>
      <c r="S16" s="30">
        <v>210</v>
      </c>
    </row>
    <row r="17" spans="1:19" ht="22.5">
      <c r="A17" s="26">
        <v>13</v>
      </c>
      <c r="B17" s="105" t="s">
        <v>625</v>
      </c>
      <c r="C17" s="26">
        <v>200</v>
      </c>
      <c r="D17" s="26">
        <v>64</v>
      </c>
      <c r="E17" s="26">
        <v>0</v>
      </c>
      <c r="F17" s="26">
        <v>0</v>
      </c>
      <c r="G17" s="28">
        <v>264</v>
      </c>
      <c r="H17" s="26">
        <v>0</v>
      </c>
      <c r="I17" s="26">
        <v>5</v>
      </c>
      <c r="J17" s="26">
        <v>0</v>
      </c>
      <c r="K17" s="31">
        <v>0</v>
      </c>
      <c r="L17" s="31">
        <v>5</v>
      </c>
      <c r="M17" s="29">
        <v>5</v>
      </c>
      <c r="N17" s="29">
        <v>3</v>
      </c>
      <c r="O17" s="31">
        <v>0</v>
      </c>
      <c r="P17" s="31">
        <v>0</v>
      </c>
      <c r="Q17" s="29">
        <v>5</v>
      </c>
      <c r="R17" s="31">
        <v>2</v>
      </c>
      <c r="S17" s="30">
        <v>248</v>
      </c>
    </row>
    <row r="18" spans="1:19" ht="22.5">
      <c r="A18" s="26">
        <v>14</v>
      </c>
      <c r="B18" s="105" t="s">
        <v>626</v>
      </c>
      <c r="C18" s="26">
        <v>50</v>
      </c>
      <c r="D18" s="26">
        <v>256</v>
      </c>
      <c r="E18" s="26">
        <v>0</v>
      </c>
      <c r="F18" s="26">
        <v>0</v>
      </c>
      <c r="G18" s="28">
        <v>306</v>
      </c>
      <c r="H18" s="26">
        <v>-40</v>
      </c>
      <c r="I18" s="26">
        <v>0</v>
      </c>
      <c r="J18" s="26">
        <v>0</v>
      </c>
      <c r="K18" s="31">
        <v>0</v>
      </c>
      <c r="L18" s="31">
        <v>5</v>
      </c>
      <c r="M18" s="29">
        <v>5</v>
      </c>
      <c r="N18" s="29">
        <v>0</v>
      </c>
      <c r="O18" s="31">
        <v>0</v>
      </c>
      <c r="P18" s="31">
        <v>0</v>
      </c>
      <c r="Q18" s="29">
        <v>5</v>
      </c>
      <c r="R18" s="31">
        <v>2</v>
      </c>
      <c r="S18" s="30">
        <v>323</v>
      </c>
    </row>
    <row r="19" spans="1:19" ht="22.5">
      <c r="A19" s="26">
        <v>15</v>
      </c>
      <c r="B19" s="105" t="s">
        <v>627</v>
      </c>
      <c r="C19" s="26">
        <v>75</v>
      </c>
      <c r="D19" s="26">
        <v>144</v>
      </c>
      <c r="E19" s="26">
        <v>0</v>
      </c>
      <c r="F19" s="26">
        <v>0</v>
      </c>
      <c r="G19" s="28">
        <v>219</v>
      </c>
      <c r="H19" s="26">
        <v>-30</v>
      </c>
      <c r="I19" s="26">
        <v>0</v>
      </c>
      <c r="J19" s="26">
        <v>0</v>
      </c>
      <c r="K19" s="31">
        <v>0</v>
      </c>
      <c r="L19" s="31">
        <v>5</v>
      </c>
      <c r="M19" s="29">
        <v>5</v>
      </c>
      <c r="N19" s="29">
        <v>0</v>
      </c>
      <c r="O19" s="31">
        <v>0</v>
      </c>
      <c r="P19" s="31">
        <v>0</v>
      </c>
      <c r="Q19" s="29">
        <v>5</v>
      </c>
      <c r="R19" s="31">
        <v>2</v>
      </c>
      <c r="S19" s="30">
        <v>236</v>
      </c>
    </row>
    <row r="20" spans="1:19" ht="33.75">
      <c r="A20" s="26">
        <v>16</v>
      </c>
      <c r="B20" s="105" t="s">
        <v>628</v>
      </c>
      <c r="C20" s="26">
        <v>175</v>
      </c>
      <c r="D20" s="26">
        <v>80</v>
      </c>
      <c r="E20" s="26">
        <v>0</v>
      </c>
      <c r="F20" s="26">
        <v>0</v>
      </c>
      <c r="G20" s="28">
        <v>255</v>
      </c>
      <c r="H20" s="26">
        <v>0</v>
      </c>
      <c r="I20" s="26">
        <v>5</v>
      </c>
      <c r="J20" s="26">
        <v>0</v>
      </c>
      <c r="K20" s="31">
        <v>0</v>
      </c>
      <c r="L20" s="31">
        <v>5</v>
      </c>
      <c r="M20" s="29">
        <v>5</v>
      </c>
      <c r="N20" s="29">
        <v>3</v>
      </c>
      <c r="O20" s="31">
        <v>0</v>
      </c>
      <c r="P20" s="31">
        <v>0</v>
      </c>
      <c r="Q20" s="29">
        <v>5</v>
      </c>
      <c r="R20" s="31">
        <v>2</v>
      </c>
      <c r="S20" s="30">
        <v>275</v>
      </c>
    </row>
    <row r="21" spans="1:19" ht="33.75">
      <c r="A21" s="26">
        <v>17</v>
      </c>
      <c r="B21" s="105" t="s">
        <v>629</v>
      </c>
      <c r="C21" s="26">
        <v>275</v>
      </c>
      <c r="D21" s="26">
        <v>4</v>
      </c>
      <c r="E21" s="26">
        <v>0</v>
      </c>
      <c r="F21" s="26">
        <v>0</v>
      </c>
      <c r="G21" s="28">
        <v>381</v>
      </c>
      <c r="H21" s="26">
        <v>0</v>
      </c>
      <c r="I21" s="26">
        <v>0</v>
      </c>
      <c r="J21" s="26">
        <v>0</v>
      </c>
      <c r="K21" s="31">
        <v>20</v>
      </c>
      <c r="L21" s="31">
        <v>5</v>
      </c>
      <c r="M21" s="29">
        <v>5</v>
      </c>
      <c r="N21" s="29">
        <v>3</v>
      </c>
      <c r="O21" s="31">
        <v>0</v>
      </c>
      <c r="P21" s="31">
        <v>0</v>
      </c>
      <c r="Q21" s="29">
        <v>5</v>
      </c>
      <c r="R21" s="31">
        <v>2</v>
      </c>
      <c r="S21" s="30">
        <v>421</v>
      </c>
    </row>
    <row r="22" spans="1:19" ht="22.5">
      <c r="A22" s="26">
        <v>18</v>
      </c>
      <c r="B22" s="105" t="s">
        <v>630</v>
      </c>
      <c r="C22" s="26">
        <v>75</v>
      </c>
      <c r="D22" s="26">
        <v>144</v>
      </c>
      <c r="E22" s="26">
        <v>0</v>
      </c>
      <c r="F22" s="26">
        <v>0</v>
      </c>
      <c r="G22" s="28">
        <v>219</v>
      </c>
      <c r="H22" s="26">
        <v>0</v>
      </c>
      <c r="I22" s="26">
        <v>0</v>
      </c>
      <c r="J22" s="26">
        <v>0</v>
      </c>
      <c r="K22" s="31">
        <v>0</v>
      </c>
      <c r="L22" s="31">
        <v>5</v>
      </c>
      <c r="M22" s="29">
        <v>5</v>
      </c>
      <c r="N22" s="29"/>
      <c r="O22" s="31">
        <v>0</v>
      </c>
      <c r="P22" s="31">
        <v>0</v>
      </c>
      <c r="Q22" s="29">
        <v>5</v>
      </c>
      <c r="R22" s="31">
        <v>2</v>
      </c>
      <c r="S22" s="30">
        <v>236</v>
      </c>
    </row>
    <row r="23" spans="1:19" ht="22.5">
      <c r="A23" s="26">
        <v>19</v>
      </c>
      <c r="B23" s="105" t="s">
        <v>631</v>
      </c>
      <c r="C23" s="26">
        <v>50</v>
      </c>
      <c r="D23" s="26">
        <v>144</v>
      </c>
      <c r="E23" s="26">
        <v>3</v>
      </c>
      <c r="F23" s="26">
        <v>0</v>
      </c>
      <c r="G23" s="28">
        <v>197</v>
      </c>
      <c r="H23" s="26">
        <v>0</v>
      </c>
      <c r="I23" s="26">
        <v>0</v>
      </c>
      <c r="J23" s="26">
        <v>0</v>
      </c>
      <c r="K23" s="31">
        <v>0</v>
      </c>
      <c r="L23" s="31">
        <v>5</v>
      </c>
      <c r="M23" s="29">
        <v>5</v>
      </c>
      <c r="N23" s="29">
        <v>3</v>
      </c>
      <c r="O23" s="31">
        <v>-5</v>
      </c>
      <c r="P23" s="31">
        <v>0</v>
      </c>
      <c r="Q23" s="29">
        <v>0</v>
      </c>
      <c r="R23" s="31">
        <v>2</v>
      </c>
      <c r="S23" s="30">
        <v>217</v>
      </c>
    </row>
    <row r="24" spans="1:19" ht="22.5">
      <c r="A24" s="26">
        <v>20</v>
      </c>
      <c r="B24" s="105" t="s">
        <v>632</v>
      </c>
      <c r="C24" s="26">
        <v>25</v>
      </c>
      <c r="D24" s="26">
        <v>144</v>
      </c>
      <c r="E24" s="26">
        <v>6</v>
      </c>
      <c r="F24" s="26">
        <v>0</v>
      </c>
      <c r="G24" s="28">
        <v>175</v>
      </c>
      <c r="H24" s="26">
        <v>-10</v>
      </c>
      <c r="I24" s="26">
        <v>0</v>
      </c>
      <c r="J24" s="26">
        <v>0</v>
      </c>
      <c r="K24" s="31">
        <v>0</v>
      </c>
      <c r="L24" s="31">
        <v>5</v>
      </c>
      <c r="M24" s="29">
        <v>5</v>
      </c>
      <c r="N24" s="29">
        <v>0</v>
      </c>
      <c r="O24" s="31">
        <v>0</v>
      </c>
      <c r="P24" s="31">
        <v>0</v>
      </c>
      <c r="Q24" s="29">
        <v>5</v>
      </c>
      <c r="R24" s="31">
        <v>2</v>
      </c>
      <c r="S24" s="30">
        <v>192</v>
      </c>
    </row>
    <row r="25" spans="1:19" ht="22.5">
      <c r="A25" s="26">
        <v>21</v>
      </c>
      <c r="B25" s="105" t="s">
        <v>633</v>
      </c>
      <c r="C25" s="8">
        <v>10</v>
      </c>
      <c r="D25" s="8">
        <v>144</v>
      </c>
      <c r="E25" s="26">
        <v>3</v>
      </c>
      <c r="F25" s="26">
        <v>0</v>
      </c>
      <c r="G25" s="28">
        <v>157</v>
      </c>
      <c r="H25" s="26">
        <v>-40</v>
      </c>
      <c r="I25" s="26">
        <v>0</v>
      </c>
      <c r="J25" s="26">
        <v>0</v>
      </c>
      <c r="K25" s="31">
        <v>0</v>
      </c>
      <c r="L25" s="31">
        <v>5</v>
      </c>
      <c r="M25" s="29"/>
      <c r="N25" s="29">
        <v>0</v>
      </c>
      <c r="O25" s="31">
        <v>0</v>
      </c>
      <c r="P25" s="31">
        <v>0</v>
      </c>
      <c r="Q25" s="29">
        <v>0</v>
      </c>
      <c r="R25" s="31">
        <v>2</v>
      </c>
      <c r="S25" s="30">
        <v>164</v>
      </c>
    </row>
    <row r="26" spans="1:19" ht="22.5">
      <c r="A26" s="26">
        <v>22</v>
      </c>
      <c r="B26" s="105" t="s">
        <v>634</v>
      </c>
      <c r="C26" s="8">
        <v>0</v>
      </c>
      <c r="D26" s="8">
        <v>64</v>
      </c>
      <c r="E26" s="26">
        <v>24</v>
      </c>
      <c r="F26" s="26">
        <v>0</v>
      </c>
      <c r="G26" s="28">
        <v>88</v>
      </c>
      <c r="H26" s="26">
        <v>-50</v>
      </c>
      <c r="I26" s="26">
        <v>0</v>
      </c>
      <c r="J26" s="26">
        <v>0</v>
      </c>
      <c r="K26" s="31">
        <v>0</v>
      </c>
      <c r="L26" s="31"/>
      <c r="M26" s="29">
        <v>5</v>
      </c>
      <c r="N26" s="29">
        <v>0</v>
      </c>
      <c r="O26" s="31">
        <v>0</v>
      </c>
      <c r="P26" s="31">
        <v>0</v>
      </c>
      <c r="Q26" s="29">
        <v>5</v>
      </c>
      <c r="R26" s="31">
        <v>2</v>
      </c>
      <c r="S26" s="30">
        <v>100</v>
      </c>
    </row>
    <row r="27" spans="1:19" ht="22.5">
      <c r="A27" s="26">
        <v>23</v>
      </c>
      <c r="B27" s="105" t="s">
        <v>635</v>
      </c>
      <c r="C27" s="8">
        <v>0</v>
      </c>
      <c r="D27" s="8">
        <v>192</v>
      </c>
      <c r="E27" s="26"/>
      <c r="F27" s="26">
        <v>0</v>
      </c>
      <c r="G27" s="28">
        <v>192</v>
      </c>
      <c r="H27" s="26">
        <v>0</v>
      </c>
      <c r="I27" s="26">
        <v>0</v>
      </c>
      <c r="J27" s="26">
        <v>0</v>
      </c>
      <c r="K27" s="31">
        <v>0</v>
      </c>
      <c r="L27" s="31">
        <v>5</v>
      </c>
      <c r="M27" s="29">
        <v>5</v>
      </c>
      <c r="N27" s="29">
        <v>0</v>
      </c>
      <c r="O27" s="31">
        <v>0</v>
      </c>
      <c r="P27" s="31">
        <v>0</v>
      </c>
      <c r="Q27" s="29">
        <v>5</v>
      </c>
      <c r="R27" s="31">
        <v>2</v>
      </c>
      <c r="S27" s="30">
        <v>209</v>
      </c>
    </row>
    <row r="28" spans="1:19" ht="22.5">
      <c r="A28" s="26">
        <v>24</v>
      </c>
      <c r="B28" s="105" t="s">
        <v>636</v>
      </c>
      <c r="C28" s="8">
        <v>250</v>
      </c>
      <c r="D28" s="8">
        <v>32</v>
      </c>
      <c r="E28" s="26">
        <v>0</v>
      </c>
      <c r="F28" s="26">
        <v>0</v>
      </c>
      <c r="G28" s="28">
        <v>282</v>
      </c>
      <c r="H28" s="26">
        <v>0</v>
      </c>
      <c r="I28" s="26">
        <v>0</v>
      </c>
      <c r="J28" s="26">
        <v>0</v>
      </c>
      <c r="K28" s="31">
        <v>20</v>
      </c>
      <c r="L28" s="31">
        <v>5</v>
      </c>
      <c r="M28" s="29">
        <v>5</v>
      </c>
      <c r="N28" s="29">
        <v>3</v>
      </c>
      <c r="O28" s="31">
        <v>0</v>
      </c>
      <c r="P28" s="31">
        <v>0</v>
      </c>
      <c r="Q28" s="29">
        <v>5</v>
      </c>
      <c r="R28" s="31">
        <v>2</v>
      </c>
      <c r="S28" s="30">
        <v>322</v>
      </c>
    </row>
    <row r="29" spans="1:19" ht="22.5">
      <c r="A29" s="26">
        <v>25</v>
      </c>
      <c r="B29" s="105" t="s">
        <v>637</v>
      </c>
      <c r="C29" s="8">
        <v>0</v>
      </c>
      <c r="D29" s="8">
        <v>192</v>
      </c>
      <c r="E29" s="26">
        <v>0</v>
      </c>
      <c r="F29" s="26"/>
      <c r="G29" s="28">
        <v>192</v>
      </c>
      <c r="H29" s="26">
        <v>0</v>
      </c>
      <c r="I29" s="26">
        <v>0</v>
      </c>
      <c r="J29" s="26">
        <v>0</v>
      </c>
      <c r="K29" s="31">
        <v>0</v>
      </c>
      <c r="L29" s="31">
        <v>5</v>
      </c>
      <c r="M29" s="29">
        <v>5</v>
      </c>
      <c r="N29" s="29">
        <v>0</v>
      </c>
      <c r="O29" s="31">
        <v>0</v>
      </c>
      <c r="P29" s="31">
        <v>0</v>
      </c>
      <c r="Q29" s="29">
        <v>0</v>
      </c>
      <c r="R29" s="31">
        <v>0</v>
      </c>
      <c r="S29" s="30">
        <v>202</v>
      </c>
    </row>
    <row r="30" spans="7:16" ht="15">
      <c r="G30" s="28"/>
      <c r="H30" s="55" t="s">
        <v>20</v>
      </c>
      <c r="I30" s="55"/>
      <c r="J30" s="55"/>
      <c r="K30" s="55" t="s">
        <v>638</v>
      </c>
      <c r="L30" s="55"/>
      <c r="P30" s="102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28"/>
    </sheetView>
  </sheetViews>
  <sheetFormatPr defaultColWidth="9.140625" defaultRowHeight="15"/>
  <sheetData>
    <row r="1" spans="1:19" ht="15">
      <c r="A1" s="321" t="s">
        <v>639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v>14661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60">
      <c r="A5" s="26">
        <v>1</v>
      </c>
      <c r="B5" s="161" t="s">
        <v>640</v>
      </c>
      <c r="C5" s="26">
        <v>370</v>
      </c>
      <c r="D5" s="26">
        <v>244</v>
      </c>
      <c r="E5" s="26">
        <v>45</v>
      </c>
      <c r="F5" s="26">
        <v>0</v>
      </c>
      <c r="G5" s="28">
        <f>C5+D5+E5-F5</f>
        <v>659</v>
      </c>
      <c r="H5" s="26">
        <v>2</v>
      </c>
      <c r="I5" s="26">
        <v>0</v>
      </c>
      <c r="J5" s="26">
        <v>0</v>
      </c>
      <c r="K5" s="29">
        <v>0</v>
      </c>
      <c r="L5" s="29">
        <v>0</v>
      </c>
      <c r="M5" s="29">
        <v>10</v>
      </c>
      <c r="N5" s="29">
        <v>0</v>
      </c>
      <c r="O5" s="29">
        <v>5</v>
      </c>
      <c r="P5" s="29">
        <v>0</v>
      </c>
      <c r="Q5" s="29">
        <v>5</v>
      </c>
      <c r="R5" s="29">
        <v>0</v>
      </c>
      <c r="S5" s="30">
        <v>679</v>
      </c>
    </row>
    <row r="6" spans="1:19" ht="45">
      <c r="A6" s="26">
        <v>2</v>
      </c>
      <c r="B6" s="161" t="s">
        <v>641</v>
      </c>
      <c r="C6" s="26">
        <v>135</v>
      </c>
      <c r="D6" s="26">
        <v>288</v>
      </c>
      <c r="E6" s="26">
        <v>144</v>
      </c>
      <c r="F6" s="26">
        <v>1</v>
      </c>
      <c r="G6" s="28">
        <f>C6+D6+E6-F6</f>
        <v>566</v>
      </c>
      <c r="H6" s="26">
        <v>0</v>
      </c>
      <c r="I6" s="26">
        <v>0</v>
      </c>
      <c r="J6" s="26">
        <v>0</v>
      </c>
      <c r="K6" s="31">
        <v>0</v>
      </c>
      <c r="L6" s="31">
        <v>0</v>
      </c>
      <c r="M6" s="29">
        <v>0</v>
      </c>
      <c r="N6" s="29">
        <v>0</v>
      </c>
      <c r="O6" s="31">
        <v>5</v>
      </c>
      <c r="P6" s="31">
        <v>0</v>
      </c>
      <c r="Q6" s="29">
        <v>5</v>
      </c>
      <c r="R6" s="31">
        <v>0</v>
      </c>
      <c r="S6" s="30">
        <f aca="true" t="shared" si="0" ref="S6:S28">G6+SUM(H6:Q6)</f>
        <v>576</v>
      </c>
    </row>
    <row r="7" spans="1:19" ht="30">
      <c r="A7" s="26">
        <v>3</v>
      </c>
      <c r="B7" s="161" t="s">
        <v>642</v>
      </c>
      <c r="C7" s="26">
        <v>310</v>
      </c>
      <c r="D7" s="26">
        <v>288</v>
      </c>
      <c r="E7" s="26">
        <v>48</v>
      </c>
      <c r="F7" s="26">
        <v>1</v>
      </c>
      <c r="G7" s="28">
        <f aca="true" t="shared" si="1" ref="G7:G28">C7+D7+E7-F7</f>
        <v>645</v>
      </c>
      <c r="H7" s="26">
        <v>0</v>
      </c>
      <c r="I7" s="26">
        <v>0</v>
      </c>
      <c r="J7" s="26">
        <v>0</v>
      </c>
      <c r="K7" s="31">
        <v>0</v>
      </c>
      <c r="L7" s="31">
        <v>0</v>
      </c>
      <c r="M7" s="29">
        <v>15</v>
      </c>
      <c r="N7" s="29">
        <v>0</v>
      </c>
      <c r="O7" s="31">
        <v>5</v>
      </c>
      <c r="P7" s="31">
        <v>0</v>
      </c>
      <c r="Q7" s="29">
        <v>5</v>
      </c>
      <c r="R7" s="31">
        <v>0</v>
      </c>
      <c r="S7" s="30">
        <f t="shared" si="0"/>
        <v>670</v>
      </c>
    </row>
    <row r="8" spans="1:19" ht="45">
      <c r="A8" s="26">
        <v>4</v>
      </c>
      <c r="B8" s="161" t="s">
        <v>643</v>
      </c>
      <c r="C8" s="26">
        <v>150</v>
      </c>
      <c r="D8" s="26">
        <v>328</v>
      </c>
      <c r="E8" s="26">
        <v>102</v>
      </c>
      <c r="F8" s="26">
        <v>1</v>
      </c>
      <c r="G8" s="28">
        <f t="shared" si="1"/>
        <v>579</v>
      </c>
      <c r="H8" s="26">
        <v>8</v>
      </c>
      <c r="I8" s="26">
        <v>0</v>
      </c>
      <c r="J8" s="26">
        <v>0</v>
      </c>
      <c r="K8" s="31">
        <v>0</v>
      </c>
      <c r="L8" s="31">
        <v>0</v>
      </c>
      <c r="M8" s="29">
        <v>0</v>
      </c>
      <c r="N8" s="29">
        <v>0</v>
      </c>
      <c r="O8" s="31">
        <v>5</v>
      </c>
      <c r="P8" s="31">
        <v>0</v>
      </c>
      <c r="Q8" s="29">
        <v>5</v>
      </c>
      <c r="R8" s="31">
        <v>0</v>
      </c>
      <c r="S8" s="30">
        <f t="shared" si="0"/>
        <v>597</v>
      </c>
    </row>
    <row r="9" spans="1:19" ht="45">
      <c r="A9" s="26">
        <v>5</v>
      </c>
      <c r="B9" s="161" t="s">
        <v>644</v>
      </c>
      <c r="C9" s="26">
        <v>100</v>
      </c>
      <c r="D9" s="26">
        <v>424</v>
      </c>
      <c r="E9" s="26">
        <v>135</v>
      </c>
      <c r="F9" s="26">
        <v>1</v>
      </c>
      <c r="G9" s="28">
        <f t="shared" si="1"/>
        <v>658</v>
      </c>
      <c r="H9" s="26">
        <v>4</v>
      </c>
      <c r="I9" s="26">
        <v>0</v>
      </c>
      <c r="J9" s="26">
        <v>0</v>
      </c>
      <c r="K9" s="31">
        <v>10</v>
      </c>
      <c r="L9" s="31">
        <v>0</v>
      </c>
      <c r="M9" s="29">
        <v>15</v>
      </c>
      <c r="N9" s="29">
        <v>0</v>
      </c>
      <c r="O9" s="31">
        <v>5</v>
      </c>
      <c r="P9" s="31">
        <v>0</v>
      </c>
      <c r="Q9" s="29">
        <v>5</v>
      </c>
      <c r="R9" s="31">
        <v>0</v>
      </c>
      <c r="S9" s="30">
        <v>703</v>
      </c>
    </row>
    <row r="10" spans="1:19" ht="45">
      <c r="A10" s="26">
        <v>6</v>
      </c>
      <c r="B10" s="161" t="s">
        <v>645</v>
      </c>
      <c r="C10" s="26">
        <v>195</v>
      </c>
      <c r="D10" s="26">
        <v>308</v>
      </c>
      <c r="E10" s="26">
        <v>57</v>
      </c>
      <c r="F10" s="26">
        <v>0</v>
      </c>
      <c r="G10" s="28">
        <f t="shared" si="1"/>
        <v>560</v>
      </c>
      <c r="H10" s="26">
        <v>0</v>
      </c>
      <c r="I10" s="26">
        <v>0</v>
      </c>
      <c r="J10" s="26">
        <v>0</v>
      </c>
      <c r="K10" s="31">
        <v>0</v>
      </c>
      <c r="L10" s="31">
        <v>0</v>
      </c>
      <c r="M10" s="29">
        <v>10</v>
      </c>
      <c r="N10" s="29">
        <v>0</v>
      </c>
      <c r="O10" s="31">
        <v>5</v>
      </c>
      <c r="P10" s="31">
        <v>0</v>
      </c>
      <c r="Q10" s="29">
        <v>5</v>
      </c>
      <c r="R10" s="31">
        <v>0</v>
      </c>
      <c r="S10" s="30">
        <f t="shared" si="0"/>
        <v>580</v>
      </c>
    </row>
    <row r="11" spans="1:19" ht="30">
      <c r="A11" s="26">
        <v>7</v>
      </c>
      <c r="B11" s="161" t="s">
        <v>646</v>
      </c>
      <c r="C11" s="26">
        <v>170</v>
      </c>
      <c r="D11" s="26">
        <v>412</v>
      </c>
      <c r="E11" s="26">
        <v>39</v>
      </c>
      <c r="F11" s="26">
        <v>0</v>
      </c>
      <c r="G11" s="28">
        <f t="shared" si="1"/>
        <v>621</v>
      </c>
      <c r="H11" s="26">
        <v>4</v>
      </c>
      <c r="I11" s="26">
        <v>0</v>
      </c>
      <c r="J11" s="26">
        <v>0</v>
      </c>
      <c r="K11" s="31">
        <v>0</v>
      </c>
      <c r="L11" s="31">
        <v>0</v>
      </c>
      <c r="M11" s="29">
        <v>0</v>
      </c>
      <c r="N11" s="29">
        <v>0</v>
      </c>
      <c r="O11" s="31">
        <v>5</v>
      </c>
      <c r="P11" s="31">
        <v>0</v>
      </c>
      <c r="Q11" s="29">
        <v>5</v>
      </c>
      <c r="R11" s="31">
        <v>0</v>
      </c>
      <c r="S11" s="30">
        <f t="shared" si="0"/>
        <v>635</v>
      </c>
    </row>
    <row r="12" spans="1:19" ht="45">
      <c r="A12" s="26">
        <v>8</v>
      </c>
      <c r="B12" s="161" t="s">
        <v>647</v>
      </c>
      <c r="C12" s="26">
        <v>260</v>
      </c>
      <c r="D12" s="26">
        <v>296</v>
      </c>
      <c r="E12" s="26">
        <v>36</v>
      </c>
      <c r="F12" s="26">
        <v>0</v>
      </c>
      <c r="G12" s="28">
        <f t="shared" si="1"/>
        <v>592</v>
      </c>
      <c r="H12" s="26">
        <v>1</v>
      </c>
      <c r="I12" s="26">
        <v>0</v>
      </c>
      <c r="J12" s="26">
        <v>0</v>
      </c>
      <c r="K12" s="31">
        <v>0</v>
      </c>
      <c r="L12" s="31">
        <v>0</v>
      </c>
      <c r="M12" s="29">
        <v>0</v>
      </c>
      <c r="N12" s="29">
        <v>0</v>
      </c>
      <c r="O12" s="31">
        <v>5</v>
      </c>
      <c r="P12" s="31">
        <v>0</v>
      </c>
      <c r="Q12" s="29">
        <v>5</v>
      </c>
      <c r="R12" s="31">
        <v>0</v>
      </c>
      <c r="S12" s="30">
        <f t="shared" si="0"/>
        <v>603</v>
      </c>
    </row>
    <row r="13" spans="1:19" ht="45">
      <c r="A13" s="26">
        <v>9</v>
      </c>
      <c r="B13" s="161" t="s">
        <v>648</v>
      </c>
      <c r="C13" s="26">
        <v>60</v>
      </c>
      <c r="D13" s="26">
        <v>248</v>
      </c>
      <c r="E13" s="26">
        <v>192</v>
      </c>
      <c r="F13" s="26">
        <v>0</v>
      </c>
      <c r="G13" s="28">
        <f t="shared" si="1"/>
        <v>500</v>
      </c>
      <c r="H13" s="26">
        <v>6</v>
      </c>
      <c r="I13" s="26">
        <v>0</v>
      </c>
      <c r="J13" s="26">
        <v>0</v>
      </c>
      <c r="K13" s="31">
        <v>0</v>
      </c>
      <c r="L13" s="31">
        <v>0</v>
      </c>
      <c r="M13" s="29">
        <v>0</v>
      </c>
      <c r="N13" s="29">
        <v>0</v>
      </c>
      <c r="O13" s="31">
        <v>5</v>
      </c>
      <c r="P13" s="31">
        <v>0</v>
      </c>
      <c r="Q13" s="29">
        <v>5</v>
      </c>
      <c r="R13" s="31">
        <v>0</v>
      </c>
      <c r="S13" s="30">
        <f t="shared" si="0"/>
        <v>516</v>
      </c>
    </row>
    <row r="14" spans="1:19" ht="45">
      <c r="A14" s="26">
        <v>10</v>
      </c>
      <c r="B14" s="161" t="s">
        <v>649</v>
      </c>
      <c r="C14" s="26">
        <v>320</v>
      </c>
      <c r="D14" s="26">
        <v>272</v>
      </c>
      <c r="E14" s="26">
        <v>39</v>
      </c>
      <c r="F14" s="26">
        <v>0</v>
      </c>
      <c r="G14" s="28">
        <f t="shared" si="1"/>
        <v>631</v>
      </c>
      <c r="H14" s="26">
        <v>11</v>
      </c>
      <c r="I14" s="26">
        <v>0</v>
      </c>
      <c r="J14" s="26">
        <v>0</v>
      </c>
      <c r="K14" s="31">
        <v>0</v>
      </c>
      <c r="L14" s="31">
        <v>0</v>
      </c>
      <c r="M14" s="29">
        <v>0</v>
      </c>
      <c r="N14" s="29">
        <v>0</v>
      </c>
      <c r="O14" s="31">
        <v>5</v>
      </c>
      <c r="P14" s="31">
        <v>0</v>
      </c>
      <c r="Q14" s="29">
        <v>0</v>
      </c>
      <c r="R14" s="31">
        <v>0</v>
      </c>
      <c r="S14" s="30">
        <f t="shared" si="0"/>
        <v>647</v>
      </c>
    </row>
    <row r="15" spans="1:19" ht="30">
      <c r="A15" s="32">
        <v>11</v>
      </c>
      <c r="B15" s="161" t="s">
        <v>650</v>
      </c>
      <c r="C15" s="26">
        <v>90</v>
      </c>
      <c r="D15" s="26">
        <v>360</v>
      </c>
      <c r="E15" s="26">
        <v>93</v>
      </c>
      <c r="F15" s="32">
        <v>2</v>
      </c>
      <c r="G15" s="28">
        <f t="shared" si="1"/>
        <v>541</v>
      </c>
      <c r="H15" s="32">
        <v>4</v>
      </c>
      <c r="I15" s="32">
        <v>0</v>
      </c>
      <c r="J15" s="32">
        <v>0</v>
      </c>
      <c r="K15" s="34">
        <v>0</v>
      </c>
      <c r="L15" s="34">
        <v>0</v>
      </c>
      <c r="M15" s="32">
        <v>0</v>
      </c>
      <c r="N15" s="32">
        <v>0</v>
      </c>
      <c r="O15" s="34">
        <v>5</v>
      </c>
      <c r="P15" s="34">
        <v>0</v>
      </c>
      <c r="Q15" s="32">
        <v>5</v>
      </c>
      <c r="R15" s="34">
        <v>0</v>
      </c>
      <c r="S15" s="30">
        <f t="shared" si="0"/>
        <v>555</v>
      </c>
    </row>
    <row r="16" spans="1:19" ht="45">
      <c r="A16" s="32">
        <v>12</v>
      </c>
      <c r="B16" s="161" t="s">
        <v>651</v>
      </c>
      <c r="C16" s="26">
        <v>125</v>
      </c>
      <c r="D16" s="26">
        <v>216</v>
      </c>
      <c r="E16" s="26">
        <v>165</v>
      </c>
      <c r="F16" s="32">
        <v>0</v>
      </c>
      <c r="G16" s="28">
        <f t="shared" si="1"/>
        <v>506</v>
      </c>
      <c r="H16" s="32">
        <v>0</v>
      </c>
      <c r="I16" s="32">
        <v>0</v>
      </c>
      <c r="J16" s="32">
        <v>0</v>
      </c>
      <c r="K16" s="34">
        <v>0</v>
      </c>
      <c r="L16" s="34">
        <v>0</v>
      </c>
      <c r="M16" s="32">
        <v>10</v>
      </c>
      <c r="N16" s="32">
        <v>0</v>
      </c>
      <c r="O16" s="34">
        <v>5</v>
      </c>
      <c r="P16" s="34">
        <v>0</v>
      </c>
      <c r="Q16" s="32">
        <v>5</v>
      </c>
      <c r="R16" s="34">
        <v>0</v>
      </c>
      <c r="S16" s="30">
        <f t="shared" si="0"/>
        <v>526</v>
      </c>
    </row>
    <row r="17" spans="1:19" ht="30">
      <c r="A17" s="26">
        <v>13</v>
      </c>
      <c r="B17" s="161" t="s">
        <v>652</v>
      </c>
      <c r="C17" s="26">
        <v>360</v>
      </c>
      <c r="D17" s="26">
        <v>224</v>
      </c>
      <c r="E17" s="26">
        <v>12</v>
      </c>
      <c r="F17" s="26">
        <v>0</v>
      </c>
      <c r="G17" s="28">
        <f t="shared" si="1"/>
        <v>596</v>
      </c>
      <c r="H17" s="26">
        <v>0</v>
      </c>
      <c r="I17" s="26">
        <v>0</v>
      </c>
      <c r="J17" s="26">
        <v>0</v>
      </c>
      <c r="K17" s="31">
        <v>0</v>
      </c>
      <c r="L17" s="31">
        <v>0</v>
      </c>
      <c r="M17" s="29">
        <v>10</v>
      </c>
      <c r="N17" s="29">
        <v>0</v>
      </c>
      <c r="O17" s="31">
        <v>5</v>
      </c>
      <c r="P17" s="31">
        <v>0</v>
      </c>
      <c r="Q17" s="29">
        <v>5</v>
      </c>
      <c r="R17" s="31">
        <v>0</v>
      </c>
      <c r="S17" s="30">
        <f t="shared" si="0"/>
        <v>616</v>
      </c>
    </row>
    <row r="18" spans="1:19" ht="60">
      <c r="A18" s="32">
        <v>14</v>
      </c>
      <c r="B18" s="161" t="s">
        <v>653</v>
      </c>
      <c r="C18" s="26">
        <v>350</v>
      </c>
      <c r="D18" s="26">
        <v>204</v>
      </c>
      <c r="E18" s="26">
        <v>75</v>
      </c>
      <c r="F18" s="32">
        <v>0</v>
      </c>
      <c r="G18" s="28">
        <f t="shared" si="1"/>
        <v>629</v>
      </c>
      <c r="H18" s="32">
        <v>0</v>
      </c>
      <c r="I18" s="32">
        <v>0</v>
      </c>
      <c r="J18" s="32">
        <v>0</v>
      </c>
      <c r="K18" s="34">
        <v>0</v>
      </c>
      <c r="L18" s="34">
        <v>0</v>
      </c>
      <c r="M18" s="32">
        <v>10</v>
      </c>
      <c r="N18" s="32">
        <v>0</v>
      </c>
      <c r="O18" s="34">
        <v>5</v>
      </c>
      <c r="P18" s="34">
        <v>0</v>
      </c>
      <c r="Q18" s="32">
        <v>5</v>
      </c>
      <c r="R18" s="34">
        <v>0</v>
      </c>
      <c r="S18" s="30">
        <f t="shared" si="0"/>
        <v>649</v>
      </c>
    </row>
    <row r="19" spans="1:19" ht="45">
      <c r="A19" s="26">
        <v>15</v>
      </c>
      <c r="B19" s="161" t="s">
        <v>654</v>
      </c>
      <c r="C19" s="26">
        <v>345</v>
      </c>
      <c r="D19" s="26">
        <v>256</v>
      </c>
      <c r="E19" s="26">
        <v>24</v>
      </c>
      <c r="F19" s="26">
        <v>0</v>
      </c>
      <c r="G19" s="28">
        <f t="shared" si="1"/>
        <v>625</v>
      </c>
      <c r="H19" s="26">
        <v>0</v>
      </c>
      <c r="I19" s="26">
        <v>0</v>
      </c>
      <c r="J19" s="26">
        <v>0</v>
      </c>
      <c r="K19" s="31">
        <v>0</v>
      </c>
      <c r="L19" s="31">
        <v>0</v>
      </c>
      <c r="M19" s="29">
        <v>0</v>
      </c>
      <c r="N19" s="29">
        <v>0</v>
      </c>
      <c r="O19" s="31">
        <v>5</v>
      </c>
      <c r="P19" s="31">
        <v>0</v>
      </c>
      <c r="Q19" s="29">
        <v>5</v>
      </c>
      <c r="R19" s="31">
        <v>0</v>
      </c>
      <c r="S19" s="30">
        <f t="shared" si="0"/>
        <v>635</v>
      </c>
    </row>
    <row r="20" spans="1:19" ht="60">
      <c r="A20" s="26">
        <v>16</v>
      </c>
      <c r="B20" s="161" t="s">
        <v>655</v>
      </c>
      <c r="C20" s="26">
        <v>115</v>
      </c>
      <c r="D20" s="26">
        <v>216</v>
      </c>
      <c r="E20" s="26">
        <v>198</v>
      </c>
      <c r="F20" s="26">
        <v>0</v>
      </c>
      <c r="G20" s="28">
        <f t="shared" si="1"/>
        <v>529</v>
      </c>
      <c r="H20" s="26">
        <v>0</v>
      </c>
      <c r="I20" s="26">
        <v>0</v>
      </c>
      <c r="J20" s="26">
        <v>0</v>
      </c>
      <c r="K20" s="31">
        <v>0</v>
      </c>
      <c r="L20" s="31">
        <v>0</v>
      </c>
      <c r="M20" s="29">
        <v>0</v>
      </c>
      <c r="N20" s="29">
        <v>0</v>
      </c>
      <c r="O20" s="31">
        <v>5</v>
      </c>
      <c r="P20" s="31">
        <v>0</v>
      </c>
      <c r="Q20" s="29">
        <v>5</v>
      </c>
      <c r="R20" s="31">
        <v>0</v>
      </c>
      <c r="S20" s="30">
        <f t="shared" si="0"/>
        <v>539</v>
      </c>
    </row>
    <row r="21" spans="1:19" ht="60">
      <c r="A21" s="26">
        <v>17</v>
      </c>
      <c r="B21" s="161" t="s">
        <v>656</v>
      </c>
      <c r="C21" s="26">
        <v>135</v>
      </c>
      <c r="D21" s="26">
        <v>276</v>
      </c>
      <c r="E21" s="26">
        <v>144</v>
      </c>
      <c r="F21" s="26">
        <v>0</v>
      </c>
      <c r="G21" s="28">
        <f t="shared" si="1"/>
        <v>555</v>
      </c>
      <c r="H21" s="26">
        <v>0</v>
      </c>
      <c r="I21" s="26">
        <v>0</v>
      </c>
      <c r="J21" s="26">
        <v>0</v>
      </c>
      <c r="K21" s="31">
        <v>0</v>
      </c>
      <c r="L21" s="31">
        <v>0</v>
      </c>
      <c r="M21" s="29">
        <v>0</v>
      </c>
      <c r="N21" s="29">
        <v>0</v>
      </c>
      <c r="O21" s="31">
        <v>5</v>
      </c>
      <c r="P21" s="31">
        <v>0</v>
      </c>
      <c r="Q21" s="29">
        <v>5</v>
      </c>
      <c r="R21" s="31">
        <v>0</v>
      </c>
      <c r="S21" s="30">
        <f t="shared" si="0"/>
        <v>565</v>
      </c>
    </row>
    <row r="22" spans="1:19" ht="45">
      <c r="A22" s="26">
        <v>18</v>
      </c>
      <c r="B22" s="161" t="s">
        <v>657</v>
      </c>
      <c r="C22" s="26">
        <v>65</v>
      </c>
      <c r="D22" s="26">
        <v>260</v>
      </c>
      <c r="E22" s="26">
        <v>195</v>
      </c>
      <c r="F22" s="26">
        <v>0</v>
      </c>
      <c r="G22" s="28">
        <f t="shared" si="1"/>
        <v>520</v>
      </c>
      <c r="H22" s="26">
        <v>0</v>
      </c>
      <c r="I22" s="26">
        <v>0</v>
      </c>
      <c r="J22" s="26">
        <v>0</v>
      </c>
      <c r="K22" s="31">
        <v>0</v>
      </c>
      <c r="L22" s="31">
        <v>0</v>
      </c>
      <c r="M22" s="29">
        <v>10</v>
      </c>
      <c r="N22" s="29">
        <v>0</v>
      </c>
      <c r="O22" s="31">
        <v>5</v>
      </c>
      <c r="P22" s="31">
        <v>0</v>
      </c>
      <c r="Q22" s="29">
        <v>5</v>
      </c>
      <c r="R22" s="31">
        <v>0</v>
      </c>
      <c r="S22" s="30">
        <f t="shared" si="0"/>
        <v>540</v>
      </c>
    </row>
    <row r="23" spans="1:19" ht="30">
      <c r="A23" s="26">
        <v>19</v>
      </c>
      <c r="B23" s="161" t="s">
        <v>658</v>
      </c>
      <c r="C23" s="26">
        <v>180</v>
      </c>
      <c r="D23" s="26">
        <v>324</v>
      </c>
      <c r="E23" s="26">
        <v>90</v>
      </c>
      <c r="F23" s="26">
        <v>0</v>
      </c>
      <c r="G23" s="28">
        <f t="shared" si="1"/>
        <v>594</v>
      </c>
      <c r="H23" s="26">
        <v>3</v>
      </c>
      <c r="I23" s="26">
        <v>0</v>
      </c>
      <c r="J23" s="26">
        <v>0</v>
      </c>
      <c r="K23" s="31">
        <v>0</v>
      </c>
      <c r="L23" s="31">
        <v>0</v>
      </c>
      <c r="M23" s="29">
        <v>0</v>
      </c>
      <c r="N23" s="29">
        <v>0</v>
      </c>
      <c r="O23" s="31">
        <v>5</v>
      </c>
      <c r="P23" s="31">
        <v>0</v>
      </c>
      <c r="Q23" s="29">
        <v>5</v>
      </c>
      <c r="R23" s="31">
        <v>0</v>
      </c>
      <c r="S23" s="30">
        <f t="shared" si="0"/>
        <v>607</v>
      </c>
    </row>
    <row r="24" spans="1:19" ht="30">
      <c r="A24" s="26">
        <v>20</v>
      </c>
      <c r="B24" s="161" t="s">
        <v>659</v>
      </c>
      <c r="C24" s="26">
        <v>55</v>
      </c>
      <c r="D24" s="26">
        <v>184</v>
      </c>
      <c r="E24" s="26">
        <v>195</v>
      </c>
      <c r="F24" s="26">
        <v>0</v>
      </c>
      <c r="G24" s="28">
        <f t="shared" si="1"/>
        <v>434</v>
      </c>
      <c r="H24" s="26">
        <v>4</v>
      </c>
      <c r="I24" s="26">
        <v>0</v>
      </c>
      <c r="J24" s="26">
        <v>0</v>
      </c>
      <c r="K24" s="31">
        <v>0</v>
      </c>
      <c r="L24" s="31">
        <v>0</v>
      </c>
      <c r="M24" s="29">
        <v>0</v>
      </c>
      <c r="N24" s="29">
        <v>0</v>
      </c>
      <c r="O24" s="31">
        <v>5</v>
      </c>
      <c r="P24" s="31">
        <v>0</v>
      </c>
      <c r="Q24" s="29">
        <v>5</v>
      </c>
      <c r="R24" s="31">
        <v>0</v>
      </c>
      <c r="S24" s="30">
        <f t="shared" si="0"/>
        <v>448</v>
      </c>
    </row>
    <row r="25" spans="1:19" ht="30">
      <c r="A25" s="26">
        <v>21</v>
      </c>
      <c r="B25" s="161" t="s">
        <v>660</v>
      </c>
      <c r="C25" s="8">
        <v>500</v>
      </c>
      <c r="D25" s="8">
        <v>184</v>
      </c>
      <c r="E25" s="26">
        <v>0</v>
      </c>
      <c r="F25" s="26">
        <v>0</v>
      </c>
      <c r="G25" s="28">
        <f t="shared" si="1"/>
        <v>684</v>
      </c>
      <c r="H25" s="26">
        <v>0</v>
      </c>
      <c r="I25" s="26">
        <v>0</v>
      </c>
      <c r="J25" s="26">
        <v>0</v>
      </c>
      <c r="K25" s="31">
        <v>0</v>
      </c>
      <c r="L25" s="31">
        <v>0</v>
      </c>
      <c r="M25" s="29">
        <v>20</v>
      </c>
      <c r="N25" s="29">
        <v>0</v>
      </c>
      <c r="O25" s="31">
        <v>5</v>
      </c>
      <c r="P25" s="31">
        <v>0</v>
      </c>
      <c r="Q25" s="29">
        <v>5</v>
      </c>
      <c r="R25" s="31">
        <v>0</v>
      </c>
      <c r="S25" s="30">
        <f t="shared" si="0"/>
        <v>714</v>
      </c>
    </row>
    <row r="26" spans="1:19" ht="60">
      <c r="A26" s="26">
        <v>22</v>
      </c>
      <c r="B26" s="161" t="s">
        <v>661</v>
      </c>
      <c r="C26" s="8">
        <v>640</v>
      </c>
      <c r="D26" s="8">
        <v>60</v>
      </c>
      <c r="E26" s="26">
        <v>9</v>
      </c>
      <c r="F26" s="26">
        <v>0</v>
      </c>
      <c r="G26" s="28">
        <f t="shared" si="1"/>
        <v>709</v>
      </c>
      <c r="H26" s="26">
        <v>0</v>
      </c>
      <c r="I26" s="26">
        <v>0</v>
      </c>
      <c r="J26" s="26">
        <v>0</v>
      </c>
      <c r="K26" s="31">
        <v>10</v>
      </c>
      <c r="L26" s="31">
        <v>0</v>
      </c>
      <c r="M26" s="29">
        <v>0</v>
      </c>
      <c r="N26" s="29">
        <v>0</v>
      </c>
      <c r="O26" s="31">
        <v>5</v>
      </c>
      <c r="P26" s="31">
        <v>0</v>
      </c>
      <c r="Q26" s="29">
        <v>5</v>
      </c>
      <c r="R26" s="31">
        <v>0</v>
      </c>
      <c r="S26" s="30">
        <f t="shared" si="0"/>
        <v>729</v>
      </c>
    </row>
    <row r="27" spans="1:19" ht="45">
      <c r="A27" s="26">
        <v>23</v>
      </c>
      <c r="B27" s="161" t="s">
        <v>662</v>
      </c>
      <c r="C27" s="8">
        <v>255</v>
      </c>
      <c r="D27" s="8">
        <v>248</v>
      </c>
      <c r="E27" s="26">
        <v>96</v>
      </c>
      <c r="F27" s="26">
        <v>0</v>
      </c>
      <c r="G27" s="28">
        <f t="shared" si="1"/>
        <v>599</v>
      </c>
      <c r="H27" s="26">
        <v>0</v>
      </c>
      <c r="I27" s="26">
        <v>0</v>
      </c>
      <c r="J27" s="26">
        <v>0</v>
      </c>
      <c r="K27" s="31">
        <v>15</v>
      </c>
      <c r="L27" s="31">
        <v>0</v>
      </c>
      <c r="M27" s="29">
        <v>0</v>
      </c>
      <c r="N27" s="29">
        <v>0</v>
      </c>
      <c r="O27" s="31">
        <v>5</v>
      </c>
      <c r="P27" s="31">
        <v>0</v>
      </c>
      <c r="Q27" s="29">
        <v>5</v>
      </c>
      <c r="R27" s="31">
        <v>0</v>
      </c>
      <c r="S27" s="30">
        <f t="shared" si="0"/>
        <v>624</v>
      </c>
    </row>
    <row r="28" spans="1:19" ht="30">
      <c r="A28" s="26">
        <v>24</v>
      </c>
      <c r="B28" s="161" t="s">
        <v>663</v>
      </c>
      <c r="C28" s="8">
        <v>480</v>
      </c>
      <c r="D28" s="8">
        <v>184</v>
      </c>
      <c r="E28" s="26">
        <v>24</v>
      </c>
      <c r="F28" s="26">
        <v>0</v>
      </c>
      <c r="G28" s="28">
        <f t="shared" si="1"/>
        <v>688</v>
      </c>
      <c r="H28" s="26">
        <v>0</v>
      </c>
      <c r="I28" s="26">
        <v>0</v>
      </c>
      <c r="J28" s="26">
        <v>0</v>
      </c>
      <c r="K28" s="31">
        <v>10</v>
      </c>
      <c r="L28" s="31">
        <v>0</v>
      </c>
      <c r="M28" s="29">
        <v>0</v>
      </c>
      <c r="N28" s="29">
        <v>0</v>
      </c>
      <c r="O28" s="31">
        <v>5</v>
      </c>
      <c r="P28" s="31">
        <v>0</v>
      </c>
      <c r="Q28" s="29">
        <v>5</v>
      </c>
      <c r="R28" s="31">
        <v>0</v>
      </c>
      <c r="S28" s="30">
        <f t="shared" si="0"/>
        <v>708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28"/>
    </sheetView>
  </sheetViews>
  <sheetFormatPr defaultColWidth="9.140625" defaultRowHeight="15"/>
  <sheetData>
    <row r="1" spans="1:19" ht="18.75">
      <c r="A1" s="303" t="s">
        <v>664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v>16742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279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R4" s="307"/>
      <c r="S4" s="310"/>
    </row>
    <row r="5" spans="1:19" ht="15">
      <c r="A5" s="26">
        <v>1</v>
      </c>
      <c r="B5" s="27" t="s">
        <v>665</v>
      </c>
      <c r="C5" s="26">
        <v>195</v>
      </c>
      <c r="D5" s="26">
        <v>468</v>
      </c>
      <c r="E5" s="26">
        <v>90</v>
      </c>
      <c r="F5" s="26"/>
      <c r="G5" s="28">
        <v>753</v>
      </c>
      <c r="H5" s="26"/>
      <c r="I5" s="26"/>
      <c r="J5" s="26"/>
      <c r="K5" s="29">
        <v>20</v>
      </c>
      <c r="L5" s="29">
        <v>10</v>
      </c>
      <c r="M5" s="29">
        <v>15</v>
      </c>
      <c r="N5" s="29"/>
      <c r="O5" s="29"/>
      <c r="P5" s="29"/>
      <c r="Q5" s="29">
        <v>0</v>
      </c>
      <c r="R5" s="29">
        <v>6</v>
      </c>
      <c r="S5" s="30">
        <v>51</v>
      </c>
    </row>
    <row r="6" spans="1:19" ht="15">
      <c r="A6" s="26">
        <v>2</v>
      </c>
      <c r="B6" s="27" t="s">
        <v>666</v>
      </c>
      <c r="C6" s="26">
        <v>115</v>
      </c>
      <c r="D6" s="26">
        <v>352</v>
      </c>
      <c r="E6" s="26">
        <v>135</v>
      </c>
      <c r="F6" s="26"/>
      <c r="G6" s="28">
        <v>602</v>
      </c>
      <c r="H6" s="26"/>
      <c r="I6" s="26"/>
      <c r="J6" s="26"/>
      <c r="K6" s="31">
        <v>20</v>
      </c>
      <c r="L6" s="31">
        <v>10</v>
      </c>
      <c r="M6" s="29">
        <v>15</v>
      </c>
      <c r="N6" s="29"/>
      <c r="O6" s="31"/>
      <c r="P6" s="31"/>
      <c r="Q6" s="29">
        <v>0</v>
      </c>
      <c r="R6" s="31"/>
      <c r="S6" s="30">
        <v>45</v>
      </c>
    </row>
    <row r="7" spans="1:19" ht="15">
      <c r="A7" s="26">
        <v>3</v>
      </c>
      <c r="B7" s="27" t="s">
        <v>667</v>
      </c>
      <c r="C7" s="26">
        <v>110</v>
      </c>
      <c r="D7" s="26">
        <v>264</v>
      </c>
      <c r="E7" s="26">
        <v>213</v>
      </c>
      <c r="F7" s="26"/>
      <c r="G7" s="28">
        <v>587</v>
      </c>
      <c r="H7" s="26"/>
      <c r="I7" s="26"/>
      <c r="J7" s="26"/>
      <c r="K7" s="31"/>
      <c r="L7" s="31">
        <v>10</v>
      </c>
      <c r="M7" s="29">
        <v>15</v>
      </c>
      <c r="N7" s="29"/>
      <c r="O7" s="31"/>
      <c r="P7" s="31"/>
      <c r="Q7" s="29">
        <v>0</v>
      </c>
      <c r="R7" s="31"/>
      <c r="S7" s="30">
        <v>25</v>
      </c>
    </row>
    <row r="8" spans="1:19" ht="15">
      <c r="A8" s="26">
        <v>4</v>
      </c>
      <c r="B8" s="27" t="s">
        <v>668</v>
      </c>
      <c r="C8" s="26">
        <v>340</v>
      </c>
      <c r="D8" s="26">
        <v>360</v>
      </c>
      <c r="E8" s="26">
        <v>9</v>
      </c>
      <c r="F8" s="26"/>
      <c r="G8" s="28">
        <v>709</v>
      </c>
      <c r="H8" s="26"/>
      <c r="I8" s="26"/>
      <c r="J8" s="26"/>
      <c r="K8" s="31">
        <v>60</v>
      </c>
      <c r="L8" s="31">
        <v>10</v>
      </c>
      <c r="M8" s="29">
        <v>15</v>
      </c>
      <c r="N8" s="29">
        <v>8</v>
      </c>
      <c r="O8" s="31"/>
      <c r="P8" s="31"/>
      <c r="Q8" s="29">
        <v>0</v>
      </c>
      <c r="R8" s="31">
        <v>6</v>
      </c>
      <c r="S8" s="30">
        <v>99</v>
      </c>
    </row>
    <row r="9" spans="1:19" ht="15">
      <c r="A9" s="26">
        <v>5</v>
      </c>
      <c r="B9" s="27" t="s">
        <v>669</v>
      </c>
      <c r="C9" s="26">
        <v>635</v>
      </c>
      <c r="D9" s="26">
        <v>140</v>
      </c>
      <c r="E9" s="26">
        <v>3</v>
      </c>
      <c r="F9" s="26"/>
      <c r="G9" s="28">
        <v>778</v>
      </c>
      <c r="H9" s="26"/>
      <c r="I9" s="26"/>
      <c r="J9" s="26"/>
      <c r="K9" s="31">
        <v>40</v>
      </c>
      <c r="L9" s="31">
        <v>10</v>
      </c>
      <c r="M9" s="29">
        <v>15</v>
      </c>
      <c r="N9" s="29">
        <v>3</v>
      </c>
      <c r="O9" s="31"/>
      <c r="P9" s="31"/>
      <c r="Q9" s="29">
        <v>0</v>
      </c>
      <c r="R9" s="31">
        <v>2</v>
      </c>
      <c r="S9" s="30">
        <v>70</v>
      </c>
    </row>
    <row r="10" spans="1:19" ht="15">
      <c r="A10" s="26">
        <v>6</v>
      </c>
      <c r="B10" s="27" t="s">
        <v>670</v>
      </c>
      <c r="C10" s="26">
        <v>215</v>
      </c>
      <c r="D10" s="26">
        <v>448</v>
      </c>
      <c r="E10" s="26">
        <v>12</v>
      </c>
      <c r="F10" s="26"/>
      <c r="G10" s="28">
        <v>675</v>
      </c>
      <c r="H10" s="26"/>
      <c r="I10" s="26"/>
      <c r="J10" s="26"/>
      <c r="K10" s="31">
        <v>20</v>
      </c>
      <c r="L10" s="31">
        <v>10</v>
      </c>
      <c r="M10" s="29">
        <v>15</v>
      </c>
      <c r="N10" s="29"/>
      <c r="O10" s="31"/>
      <c r="P10" s="31"/>
      <c r="Q10" s="29">
        <v>0</v>
      </c>
      <c r="R10" s="31">
        <v>2</v>
      </c>
      <c r="S10" s="30">
        <v>47</v>
      </c>
    </row>
    <row r="11" spans="1:19" ht="15">
      <c r="A11" s="26">
        <v>7</v>
      </c>
      <c r="B11" s="27" t="s">
        <v>671</v>
      </c>
      <c r="C11" s="26">
        <v>100</v>
      </c>
      <c r="D11" s="26">
        <v>276</v>
      </c>
      <c r="E11" s="26">
        <v>246</v>
      </c>
      <c r="F11" s="26"/>
      <c r="G11" s="28">
        <v>622</v>
      </c>
      <c r="H11" s="26"/>
      <c r="I11" s="26"/>
      <c r="J11" s="26"/>
      <c r="K11" s="31">
        <v>20</v>
      </c>
      <c r="L11" s="31">
        <v>10</v>
      </c>
      <c r="M11" s="29">
        <v>15</v>
      </c>
      <c r="N11" s="29"/>
      <c r="O11" s="31"/>
      <c r="P11" s="31"/>
      <c r="Q11" s="29">
        <v>0</v>
      </c>
      <c r="R11" s="31"/>
      <c r="S11" s="30">
        <v>45</v>
      </c>
    </row>
    <row r="12" spans="1:19" ht="15">
      <c r="A12" s="26">
        <v>8</v>
      </c>
      <c r="B12" s="27" t="s">
        <v>672</v>
      </c>
      <c r="C12" s="26">
        <v>405</v>
      </c>
      <c r="D12" s="26">
        <v>316</v>
      </c>
      <c r="E12" s="26">
        <v>21</v>
      </c>
      <c r="F12" s="26"/>
      <c r="G12" s="28">
        <v>742</v>
      </c>
      <c r="H12" s="26"/>
      <c r="I12" s="26"/>
      <c r="J12" s="26"/>
      <c r="K12" s="31">
        <v>80</v>
      </c>
      <c r="L12" s="31">
        <v>10</v>
      </c>
      <c r="M12" s="29">
        <v>15</v>
      </c>
      <c r="N12" s="29">
        <v>3</v>
      </c>
      <c r="O12" s="31"/>
      <c r="P12" s="31"/>
      <c r="Q12" s="29">
        <v>0</v>
      </c>
      <c r="R12" s="31"/>
      <c r="S12" s="30">
        <v>108</v>
      </c>
    </row>
    <row r="13" spans="1:19" ht="15">
      <c r="A13" s="32">
        <v>9</v>
      </c>
      <c r="B13" s="33" t="s">
        <v>673</v>
      </c>
      <c r="C13" s="26">
        <v>700</v>
      </c>
      <c r="D13" s="26">
        <v>96</v>
      </c>
      <c r="E13" s="26"/>
      <c r="F13" s="32"/>
      <c r="G13" s="28">
        <v>796</v>
      </c>
      <c r="H13" s="32"/>
      <c r="I13" s="32"/>
      <c r="J13" s="32"/>
      <c r="K13" s="34">
        <v>90</v>
      </c>
      <c r="L13" s="34">
        <v>10</v>
      </c>
      <c r="M13" s="32">
        <v>15</v>
      </c>
      <c r="N13" s="32">
        <v>3</v>
      </c>
      <c r="O13" s="34"/>
      <c r="P13" s="34"/>
      <c r="Q13" s="32">
        <v>0</v>
      </c>
      <c r="R13" s="34"/>
      <c r="S13" s="30">
        <v>118</v>
      </c>
    </row>
    <row r="14" spans="1:19" ht="15">
      <c r="A14" s="32">
        <v>10</v>
      </c>
      <c r="B14" s="27" t="s">
        <v>674</v>
      </c>
      <c r="C14" s="26">
        <v>115</v>
      </c>
      <c r="D14" s="26">
        <v>468</v>
      </c>
      <c r="E14" s="26">
        <v>66</v>
      </c>
      <c r="F14" s="32"/>
      <c r="G14" s="28">
        <v>649</v>
      </c>
      <c r="H14" s="32"/>
      <c r="I14" s="32"/>
      <c r="J14" s="32"/>
      <c r="K14" s="34">
        <v>20</v>
      </c>
      <c r="L14" s="34">
        <v>10</v>
      </c>
      <c r="M14" s="32">
        <v>15</v>
      </c>
      <c r="N14" s="32"/>
      <c r="O14" s="34"/>
      <c r="P14" s="34"/>
      <c r="Q14" s="32">
        <v>0</v>
      </c>
      <c r="R14" s="34">
        <v>2</v>
      </c>
      <c r="S14" s="30">
        <v>47</v>
      </c>
    </row>
    <row r="15" spans="1:19" ht="15">
      <c r="A15" s="26">
        <v>11</v>
      </c>
      <c r="B15" s="27" t="s">
        <v>675</v>
      </c>
      <c r="C15" s="26">
        <v>235</v>
      </c>
      <c r="D15" s="26">
        <v>460</v>
      </c>
      <c r="E15" s="26">
        <v>15</v>
      </c>
      <c r="F15" s="26"/>
      <c r="G15" s="28">
        <v>710</v>
      </c>
      <c r="H15" s="26"/>
      <c r="I15" s="26"/>
      <c r="J15" s="26"/>
      <c r="K15" s="31">
        <v>20</v>
      </c>
      <c r="L15" s="31">
        <v>10</v>
      </c>
      <c r="M15" s="29">
        <v>15</v>
      </c>
      <c r="N15" s="29"/>
      <c r="O15" s="31"/>
      <c r="P15" s="31"/>
      <c r="Q15" s="29">
        <v>0</v>
      </c>
      <c r="R15" s="31">
        <v>6</v>
      </c>
      <c r="S15" s="30">
        <v>51</v>
      </c>
    </row>
    <row r="16" spans="1:19" ht="15">
      <c r="A16" s="32">
        <v>12</v>
      </c>
      <c r="B16" s="27" t="s">
        <v>676</v>
      </c>
      <c r="C16" s="26">
        <v>215</v>
      </c>
      <c r="D16" s="26">
        <v>428</v>
      </c>
      <c r="E16" s="26">
        <v>33</v>
      </c>
      <c r="F16" s="32"/>
      <c r="G16" s="28">
        <v>676</v>
      </c>
      <c r="H16" s="32"/>
      <c r="I16" s="32"/>
      <c r="J16" s="32"/>
      <c r="K16" s="34"/>
      <c r="L16" s="34">
        <v>10</v>
      </c>
      <c r="M16" s="32">
        <v>15</v>
      </c>
      <c r="N16" s="32"/>
      <c r="O16" s="34"/>
      <c r="P16" s="34"/>
      <c r="Q16" s="32">
        <v>0</v>
      </c>
      <c r="R16" s="34"/>
      <c r="S16" s="30">
        <v>25</v>
      </c>
    </row>
    <row r="17" spans="1:19" ht="15">
      <c r="A17" s="26">
        <v>13</v>
      </c>
      <c r="B17" s="27" t="s">
        <v>677</v>
      </c>
      <c r="C17" s="26">
        <v>205</v>
      </c>
      <c r="D17" s="26">
        <v>208</v>
      </c>
      <c r="E17" s="26">
        <v>27</v>
      </c>
      <c r="F17" s="26"/>
      <c r="G17" s="28">
        <v>440</v>
      </c>
      <c r="H17" s="26"/>
      <c r="I17" s="26"/>
      <c r="J17" s="26"/>
      <c r="K17" s="31"/>
      <c r="L17" s="31"/>
      <c r="M17" s="29">
        <v>15</v>
      </c>
      <c r="N17" s="29"/>
      <c r="O17" s="31"/>
      <c r="P17" s="31"/>
      <c r="Q17" s="29">
        <v>0</v>
      </c>
      <c r="R17" s="31">
        <v>2</v>
      </c>
      <c r="S17" s="30">
        <v>17</v>
      </c>
    </row>
    <row r="18" spans="1:19" ht="15">
      <c r="A18" s="26">
        <v>14</v>
      </c>
      <c r="B18" s="27" t="s">
        <v>678</v>
      </c>
      <c r="C18" s="26">
        <v>85</v>
      </c>
      <c r="D18" s="26">
        <v>276</v>
      </c>
      <c r="E18" s="26">
        <v>228</v>
      </c>
      <c r="F18" s="26"/>
      <c r="G18" s="28">
        <v>589</v>
      </c>
      <c r="H18" s="26"/>
      <c r="I18" s="26"/>
      <c r="J18" s="26"/>
      <c r="K18" s="31"/>
      <c r="L18" s="31">
        <v>10</v>
      </c>
      <c r="M18" s="29">
        <v>15</v>
      </c>
      <c r="N18" s="29"/>
      <c r="O18" s="31"/>
      <c r="P18" s="31"/>
      <c r="Q18" s="29">
        <v>0</v>
      </c>
      <c r="R18" s="31">
        <v>2</v>
      </c>
      <c r="S18" s="30">
        <v>27</v>
      </c>
    </row>
    <row r="19" spans="1:19" ht="15">
      <c r="A19" s="26">
        <v>15</v>
      </c>
      <c r="B19" s="27" t="s">
        <v>679</v>
      </c>
      <c r="C19" s="26">
        <v>190</v>
      </c>
      <c r="D19" s="26">
        <v>284</v>
      </c>
      <c r="E19" s="26">
        <v>153</v>
      </c>
      <c r="F19" s="26">
        <v>-10</v>
      </c>
      <c r="G19" s="28">
        <v>617</v>
      </c>
      <c r="H19" s="26"/>
      <c r="I19" s="26"/>
      <c r="J19" s="26"/>
      <c r="K19" s="31">
        <v>20</v>
      </c>
      <c r="L19" s="31">
        <v>10</v>
      </c>
      <c r="M19" s="29">
        <v>15</v>
      </c>
      <c r="N19" s="29"/>
      <c r="O19" s="31"/>
      <c r="P19" s="31"/>
      <c r="Q19" s="29">
        <v>0</v>
      </c>
      <c r="R19" s="31"/>
      <c r="S19" s="30">
        <v>45</v>
      </c>
    </row>
    <row r="20" spans="1:19" ht="15">
      <c r="A20" s="26">
        <v>16</v>
      </c>
      <c r="B20" s="27" t="s">
        <v>680</v>
      </c>
      <c r="C20" s="26">
        <v>70</v>
      </c>
      <c r="D20" s="26">
        <v>356</v>
      </c>
      <c r="E20" s="26">
        <v>135</v>
      </c>
      <c r="F20" s="26"/>
      <c r="G20" s="28">
        <v>561</v>
      </c>
      <c r="H20" s="26"/>
      <c r="I20" s="26"/>
      <c r="J20" s="26"/>
      <c r="K20" s="31">
        <v>20</v>
      </c>
      <c r="L20" s="31">
        <v>10</v>
      </c>
      <c r="M20" s="29">
        <v>15</v>
      </c>
      <c r="N20" s="29"/>
      <c r="O20" s="31"/>
      <c r="P20" s="31"/>
      <c r="Q20" s="29">
        <v>0</v>
      </c>
      <c r="R20" s="31"/>
      <c r="S20" s="30">
        <v>45</v>
      </c>
    </row>
    <row r="21" spans="1:19" ht="15">
      <c r="A21" s="26">
        <v>17</v>
      </c>
      <c r="B21" s="27" t="s">
        <v>681</v>
      </c>
      <c r="C21" s="26">
        <v>150</v>
      </c>
      <c r="D21" s="26">
        <v>344</v>
      </c>
      <c r="E21" s="26">
        <v>48</v>
      </c>
      <c r="F21" s="26"/>
      <c r="G21" s="28">
        <v>542</v>
      </c>
      <c r="H21" s="26"/>
      <c r="I21" s="26"/>
      <c r="J21" s="26"/>
      <c r="K21" s="31">
        <v>40</v>
      </c>
      <c r="L21" s="31">
        <v>10</v>
      </c>
      <c r="M21" s="29">
        <v>15</v>
      </c>
      <c r="N21" s="29"/>
      <c r="O21" s="31"/>
      <c r="P21" s="31"/>
      <c r="Q21" s="29">
        <v>0</v>
      </c>
      <c r="R21" s="31">
        <v>2</v>
      </c>
      <c r="S21" s="30">
        <v>67</v>
      </c>
    </row>
    <row r="22" spans="1:19" ht="15">
      <c r="A22" s="26">
        <v>18</v>
      </c>
      <c r="B22" s="27" t="s">
        <v>682</v>
      </c>
      <c r="C22" s="26">
        <v>50</v>
      </c>
      <c r="D22" s="26">
        <v>176</v>
      </c>
      <c r="E22" s="26">
        <v>270</v>
      </c>
      <c r="F22" s="26">
        <v>-20</v>
      </c>
      <c r="G22" s="28">
        <v>476</v>
      </c>
      <c r="H22" s="26"/>
      <c r="I22" s="26"/>
      <c r="J22" s="26"/>
      <c r="K22" s="31"/>
      <c r="L22" s="31">
        <v>10</v>
      </c>
      <c r="M22" s="29">
        <v>15</v>
      </c>
      <c r="N22" s="29"/>
      <c r="O22" s="31"/>
      <c r="P22" s="31"/>
      <c r="Q22" s="29">
        <v>0</v>
      </c>
      <c r="R22" s="31"/>
      <c r="S22" s="30">
        <v>35</v>
      </c>
    </row>
    <row r="23" spans="1:19" ht="15">
      <c r="A23" s="26">
        <v>19</v>
      </c>
      <c r="B23" s="27" t="s">
        <v>683</v>
      </c>
      <c r="C23" s="26">
        <v>40</v>
      </c>
      <c r="D23" s="26">
        <v>380</v>
      </c>
      <c r="E23" s="26">
        <v>168</v>
      </c>
      <c r="F23" s="26"/>
      <c r="G23" s="28">
        <v>552</v>
      </c>
      <c r="H23" s="26"/>
      <c r="I23" s="26"/>
      <c r="J23" s="26"/>
      <c r="K23" s="31"/>
      <c r="L23" s="31">
        <v>10</v>
      </c>
      <c r="M23" s="29">
        <v>15</v>
      </c>
      <c r="N23" s="29"/>
      <c r="O23" s="31"/>
      <c r="P23" s="31"/>
      <c r="Q23" s="29">
        <v>0</v>
      </c>
      <c r="R23" s="31">
        <v>6</v>
      </c>
      <c r="S23" s="30">
        <v>31</v>
      </c>
    </row>
    <row r="24" spans="1:19" ht="15">
      <c r="A24" s="26">
        <v>20</v>
      </c>
      <c r="B24" s="27" t="s">
        <v>684</v>
      </c>
      <c r="C24" s="26">
        <v>185</v>
      </c>
      <c r="D24" s="26">
        <v>268</v>
      </c>
      <c r="E24" s="26">
        <v>180</v>
      </c>
      <c r="F24" s="26"/>
      <c r="G24" s="28">
        <v>633</v>
      </c>
      <c r="H24" s="26"/>
      <c r="I24" s="26"/>
      <c r="J24" s="26"/>
      <c r="K24" s="31">
        <v>20</v>
      </c>
      <c r="L24" s="31">
        <v>10</v>
      </c>
      <c r="M24" s="29">
        <v>15</v>
      </c>
      <c r="N24" s="29"/>
      <c r="O24" s="31"/>
      <c r="P24" s="31"/>
      <c r="Q24" s="29">
        <v>0</v>
      </c>
      <c r="R24" s="31">
        <v>2</v>
      </c>
      <c r="S24" s="30">
        <v>47</v>
      </c>
    </row>
    <row r="25" spans="1:19" ht="15">
      <c r="A25" s="26">
        <v>21</v>
      </c>
      <c r="B25" s="27" t="s">
        <v>685</v>
      </c>
      <c r="C25" s="8">
        <v>445</v>
      </c>
      <c r="D25" s="8">
        <v>196</v>
      </c>
      <c r="E25" s="26"/>
      <c r="F25" s="26"/>
      <c r="G25" s="28">
        <v>641</v>
      </c>
      <c r="H25" s="26"/>
      <c r="I25" s="26"/>
      <c r="J25" s="26"/>
      <c r="K25" s="31">
        <v>50</v>
      </c>
      <c r="L25" s="31">
        <v>10</v>
      </c>
      <c r="M25" s="29">
        <v>15</v>
      </c>
      <c r="N25" s="29">
        <v>3</v>
      </c>
      <c r="O25" s="31"/>
      <c r="P25" s="31"/>
      <c r="Q25" s="29">
        <v>0</v>
      </c>
      <c r="R25" s="31"/>
      <c r="S25" s="30">
        <v>78</v>
      </c>
    </row>
    <row r="26" spans="1:19" ht="15">
      <c r="A26" s="26">
        <v>22</v>
      </c>
      <c r="B26" s="27" t="s">
        <v>686</v>
      </c>
      <c r="C26" s="8">
        <v>230</v>
      </c>
      <c r="D26" s="8">
        <v>396</v>
      </c>
      <c r="E26" s="26">
        <v>27</v>
      </c>
      <c r="F26" s="26"/>
      <c r="G26" s="28">
        <v>653</v>
      </c>
      <c r="H26" s="26"/>
      <c r="I26" s="26" t="s">
        <v>687</v>
      </c>
      <c r="J26" s="26"/>
      <c r="K26" s="31">
        <v>40</v>
      </c>
      <c r="L26" s="31">
        <v>10</v>
      </c>
      <c r="M26" s="29">
        <v>15</v>
      </c>
      <c r="N26" s="29"/>
      <c r="O26" s="31"/>
      <c r="P26" s="31"/>
      <c r="Q26" s="29">
        <v>0</v>
      </c>
      <c r="R26" s="31"/>
      <c r="S26" s="30">
        <v>65</v>
      </c>
    </row>
    <row r="27" spans="1:19" ht="15">
      <c r="A27" s="26">
        <v>23</v>
      </c>
      <c r="B27" s="27" t="s">
        <v>688</v>
      </c>
      <c r="C27" s="8">
        <v>670</v>
      </c>
      <c r="D27" s="8">
        <v>112</v>
      </c>
      <c r="E27" s="26">
        <v>6</v>
      </c>
      <c r="F27" s="26"/>
      <c r="G27" s="28">
        <v>788</v>
      </c>
      <c r="H27" s="26"/>
      <c r="I27" s="26"/>
      <c r="J27" s="26"/>
      <c r="K27" s="31">
        <v>50</v>
      </c>
      <c r="L27" s="31">
        <v>10</v>
      </c>
      <c r="M27" s="29">
        <v>15</v>
      </c>
      <c r="N27" s="29">
        <v>3</v>
      </c>
      <c r="O27" s="31"/>
      <c r="P27" s="31"/>
      <c r="Q27" s="29">
        <v>0</v>
      </c>
      <c r="R27" s="31">
        <v>2</v>
      </c>
      <c r="S27" s="30">
        <v>80</v>
      </c>
    </row>
    <row r="28" spans="1:19" ht="15">
      <c r="A28" s="26">
        <v>24</v>
      </c>
      <c r="B28" s="27" t="s">
        <v>689</v>
      </c>
      <c r="C28" s="8">
        <v>155</v>
      </c>
      <c r="D28" s="8">
        <v>468</v>
      </c>
      <c r="E28" s="26">
        <v>33</v>
      </c>
      <c r="F28" s="26"/>
      <c r="G28" s="28">
        <v>656</v>
      </c>
      <c r="H28" s="26"/>
      <c r="I28" s="26"/>
      <c r="J28" s="26"/>
      <c r="K28" s="31"/>
      <c r="L28" s="31">
        <v>10</v>
      </c>
      <c r="M28" s="29">
        <v>15</v>
      </c>
      <c r="N28" s="29"/>
      <c r="O28" s="31"/>
      <c r="P28" s="31"/>
      <c r="Q28" s="29">
        <v>0</v>
      </c>
      <c r="R28" s="31">
        <v>2</v>
      </c>
      <c r="S28" s="30">
        <v>27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S37"/>
    </sheetView>
  </sheetViews>
  <sheetFormatPr defaultColWidth="9.140625" defaultRowHeight="15"/>
  <sheetData>
    <row r="1" spans="1:19" ht="15">
      <c r="A1" s="321" t="s">
        <v>690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17627</v>
      </c>
    </row>
    <row r="3" spans="1:19" ht="15">
      <c r="A3" s="354" t="s">
        <v>1</v>
      </c>
      <c r="B3" s="354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55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19" t="s">
        <v>16</v>
      </c>
      <c r="O3" s="306" t="s">
        <v>17</v>
      </c>
      <c r="P3" s="306" t="s">
        <v>5</v>
      </c>
      <c r="Q3" s="319" t="s">
        <v>18</v>
      </c>
      <c r="R3" s="306" t="s">
        <v>6</v>
      </c>
      <c r="S3" s="310" t="s">
        <v>3</v>
      </c>
    </row>
    <row r="4" spans="1:19" ht="15">
      <c r="A4" s="354"/>
      <c r="B4" s="354"/>
      <c r="C4" s="307"/>
      <c r="D4" s="307"/>
      <c r="E4" s="307"/>
      <c r="F4" s="307"/>
      <c r="G4" s="356"/>
      <c r="H4" s="307"/>
      <c r="I4" s="307"/>
      <c r="J4" s="307"/>
      <c r="K4" s="307"/>
      <c r="L4" s="307"/>
      <c r="M4" s="307"/>
      <c r="N4" s="357"/>
      <c r="O4" s="307"/>
      <c r="P4" s="307"/>
      <c r="Q4" s="357"/>
      <c r="R4" s="307"/>
      <c r="S4" s="310"/>
    </row>
    <row r="5" spans="1:19" ht="60">
      <c r="A5" s="162">
        <v>1</v>
      </c>
      <c r="B5" s="163" t="s">
        <v>691</v>
      </c>
      <c r="C5" s="162">
        <v>120</v>
      </c>
      <c r="D5" s="162">
        <v>364</v>
      </c>
      <c r="E5" s="162">
        <v>60</v>
      </c>
      <c r="F5" s="162"/>
      <c r="G5" s="164">
        <f aca="true" t="shared" si="0" ref="G5:G34">SUM(C5:F5)</f>
        <v>544</v>
      </c>
      <c r="H5" s="162">
        <v>-4</v>
      </c>
      <c r="I5" s="162"/>
      <c r="J5" s="162"/>
      <c r="K5" s="162"/>
      <c r="L5" s="162"/>
      <c r="M5" s="162"/>
      <c r="N5" s="162"/>
      <c r="O5" s="165">
        <v>5</v>
      </c>
      <c r="P5" s="162"/>
      <c r="Q5" s="165"/>
      <c r="R5" s="162"/>
      <c r="S5" s="166">
        <f aca="true" t="shared" si="1" ref="S5:S34">SUM(G5:R5)</f>
        <v>545</v>
      </c>
    </row>
    <row r="6" spans="1:19" ht="72">
      <c r="A6" s="162">
        <v>2</v>
      </c>
      <c r="B6" s="163" t="s">
        <v>692</v>
      </c>
      <c r="C6" s="162">
        <v>140</v>
      </c>
      <c r="D6" s="162">
        <v>380</v>
      </c>
      <c r="E6" s="162">
        <v>24</v>
      </c>
      <c r="F6" s="162">
        <v>0</v>
      </c>
      <c r="G6" s="164">
        <f t="shared" si="0"/>
        <v>544</v>
      </c>
      <c r="H6" s="162"/>
      <c r="I6" s="162"/>
      <c r="J6" s="162"/>
      <c r="K6" s="162"/>
      <c r="L6" s="162"/>
      <c r="M6" s="162"/>
      <c r="N6" s="162"/>
      <c r="O6" s="167">
        <v>5</v>
      </c>
      <c r="P6" s="162"/>
      <c r="Q6" s="167"/>
      <c r="R6" s="162"/>
      <c r="S6" s="166">
        <f t="shared" si="1"/>
        <v>549</v>
      </c>
    </row>
    <row r="7" spans="1:19" ht="48">
      <c r="A7" s="162">
        <v>3</v>
      </c>
      <c r="B7" s="168" t="s">
        <v>693</v>
      </c>
      <c r="C7" s="162">
        <v>200</v>
      </c>
      <c r="D7" s="162">
        <v>360</v>
      </c>
      <c r="E7" s="162">
        <v>21</v>
      </c>
      <c r="F7" s="162"/>
      <c r="G7" s="164">
        <f t="shared" si="0"/>
        <v>581</v>
      </c>
      <c r="H7" s="162"/>
      <c r="I7" s="162"/>
      <c r="J7" s="162"/>
      <c r="K7" s="162"/>
      <c r="L7" s="162"/>
      <c r="M7" s="162"/>
      <c r="N7" s="162"/>
      <c r="O7" s="167">
        <v>5</v>
      </c>
      <c r="P7" s="162"/>
      <c r="Q7" s="167"/>
      <c r="R7" s="162"/>
      <c r="S7" s="166">
        <f t="shared" si="1"/>
        <v>586</v>
      </c>
    </row>
    <row r="8" spans="1:19" ht="36">
      <c r="A8" s="162">
        <v>4</v>
      </c>
      <c r="B8" s="168" t="s">
        <v>694</v>
      </c>
      <c r="C8" s="162">
        <v>70</v>
      </c>
      <c r="D8" s="162">
        <v>304</v>
      </c>
      <c r="E8" s="162">
        <v>126</v>
      </c>
      <c r="F8" s="162"/>
      <c r="G8" s="164">
        <f t="shared" si="0"/>
        <v>500</v>
      </c>
      <c r="H8" s="162">
        <v>-10</v>
      </c>
      <c r="I8" s="162"/>
      <c r="J8" s="162"/>
      <c r="K8" s="162"/>
      <c r="L8" s="162"/>
      <c r="M8" s="162"/>
      <c r="N8" s="162"/>
      <c r="O8" s="167">
        <v>5</v>
      </c>
      <c r="P8" s="162"/>
      <c r="Q8" s="167"/>
      <c r="R8" s="162"/>
      <c r="S8" s="166">
        <f t="shared" si="1"/>
        <v>495</v>
      </c>
    </row>
    <row r="9" spans="1:19" ht="48">
      <c r="A9" s="162">
        <v>5</v>
      </c>
      <c r="B9" s="169" t="s">
        <v>695</v>
      </c>
      <c r="C9" s="162">
        <v>195</v>
      </c>
      <c r="D9" s="162">
        <v>360</v>
      </c>
      <c r="E9" s="162">
        <v>27</v>
      </c>
      <c r="F9" s="162"/>
      <c r="G9" s="164">
        <f t="shared" si="0"/>
        <v>582</v>
      </c>
      <c r="H9" s="162"/>
      <c r="I9" s="162"/>
      <c r="J9" s="162"/>
      <c r="K9" s="162"/>
      <c r="L9" s="162"/>
      <c r="M9" s="162"/>
      <c r="N9" s="162"/>
      <c r="O9" s="167">
        <v>5</v>
      </c>
      <c r="P9" s="162"/>
      <c r="Q9" s="167"/>
      <c r="R9" s="162"/>
      <c r="S9" s="166">
        <f t="shared" si="1"/>
        <v>587</v>
      </c>
    </row>
    <row r="10" spans="1:19" ht="60">
      <c r="A10" s="162">
        <v>6</v>
      </c>
      <c r="B10" s="169" t="s">
        <v>696</v>
      </c>
      <c r="C10" s="162">
        <v>175</v>
      </c>
      <c r="D10" s="162">
        <v>392</v>
      </c>
      <c r="E10" s="162">
        <v>9</v>
      </c>
      <c r="F10" s="162"/>
      <c r="G10" s="164">
        <f t="shared" si="0"/>
        <v>576</v>
      </c>
      <c r="H10" s="162"/>
      <c r="I10" s="162"/>
      <c r="J10" s="162"/>
      <c r="K10" s="162"/>
      <c r="L10" s="162"/>
      <c r="M10" s="162"/>
      <c r="N10" s="162"/>
      <c r="O10" s="167">
        <v>5</v>
      </c>
      <c r="P10" s="162"/>
      <c r="Q10" s="167"/>
      <c r="R10" s="162"/>
      <c r="S10" s="166">
        <f t="shared" si="1"/>
        <v>581</v>
      </c>
    </row>
    <row r="11" spans="1:19" ht="48">
      <c r="A11" s="162">
        <v>7</v>
      </c>
      <c r="B11" s="163" t="s">
        <v>697</v>
      </c>
      <c r="C11" s="162">
        <v>505</v>
      </c>
      <c r="D11" s="162">
        <v>140</v>
      </c>
      <c r="E11" s="162">
        <v>6</v>
      </c>
      <c r="F11" s="162"/>
      <c r="G11" s="164">
        <f t="shared" si="0"/>
        <v>651</v>
      </c>
      <c r="H11" s="162"/>
      <c r="I11" s="162"/>
      <c r="J11" s="162"/>
      <c r="K11" s="162"/>
      <c r="L11" s="162"/>
      <c r="M11" s="162"/>
      <c r="N11" s="162"/>
      <c r="O11" s="167">
        <v>5</v>
      </c>
      <c r="P11" s="162"/>
      <c r="Q11" s="167"/>
      <c r="R11" s="162"/>
      <c r="S11" s="170">
        <f t="shared" si="1"/>
        <v>656</v>
      </c>
    </row>
    <row r="12" spans="1:19" ht="48">
      <c r="A12" s="162">
        <v>8</v>
      </c>
      <c r="B12" s="171" t="s">
        <v>698</v>
      </c>
      <c r="C12" s="162">
        <v>485</v>
      </c>
      <c r="D12" s="162">
        <v>112</v>
      </c>
      <c r="E12" s="162">
        <v>45</v>
      </c>
      <c r="F12" s="162"/>
      <c r="G12" s="164">
        <f t="shared" si="0"/>
        <v>642</v>
      </c>
      <c r="H12" s="162"/>
      <c r="I12" s="162"/>
      <c r="J12" s="162"/>
      <c r="K12" s="162"/>
      <c r="L12" s="162"/>
      <c r="M12" s="162"/>
      <c r="N12" s="162"/>
      <c r="O12" s="167">
        <v>5</v>
      </c>
      <c r="P12" s="162"/>
      <c r="Q12" s="167"/>
      <c r="R12" s="162"/>
      <c r="S12" s="166">
        <f t="shared" si="1"/>
        <v>647</v>
      </c>
    </row>
    <row r="13" spans="1:19" ht="48">
      <c r="A13" s="165">
        <v>9</v>
      </c>
      <c r="B13" s="163" t="s">
        <v>699</v>
      </c>
      <c r="C13" s="165">
        <v>150</v>
      </c>
      <c r="D13" s="165">
        <v>336</v>
      </c>
      <c r="E13" s="165">
        <v>78</v>
      </c>
      <c r="F13" s="165"/>
      <c r="G13" s="164">
        <f t="shared" si="0"/>
        <v>564</v>
      </c>
      <c r="H13" s="165"/>
      <c r="I13" s="165"/>
      <c r="J13" s="165"/>
      <c r="K13" s="165"/>
      <c r="L13" s="165"/>
      <c r="M13" s="165"/>
      <c r="N13" s="165"/>
      <c r="O13" s="172">
        <v>5</v>
      </c>
      <c r="P13" s="165"/>
      <c r="Q13" s="172"/>
      <c r="R13" s="165"/>
      <c r="S13" s="166">
        <f t="shared" si="1"/>
        <v>569</v>
      </c>
    </row>
    <row r="14" spans="1:19" ht="48">
      <c r="A14" s="165">
        <v>10</v>
      </c>
      <c r="B14" s="171" t="s">
        <v>700</v>
      </c>
      <c r="C14" s="165">
        <v>490</v>
      </c>
      <c r="D14" s="165">
        <v>96</v>
      </c>
      <c r="E14" s="165">
        <v>57</v>
      </c>
      <c r="F14" s="165"/>
      <c r="G14" s="164">
        <f t="shared" si="0"/>
        <v>643</v>
      </c>
      <c r="H14" s="165"/>
      <c r="I14" s="165"/>
      <c r="J14" s="165"/>
      <c r="K14" s="165"/>
      <c r="L14" s="172"/>
      <c r="M14" s="165"/>
      <c r="N14" s="165"/>
      <c r="O14" s="172">
        <v>5</v>
      </c>
      <c r="P14" s="165"/>
      <c r="Q14" s="172"/>
      <c r="R14" s="165"/>
      <c r="S14" s="170">
        <f t="shared" si="1"/>
        <v>648</v>
      </c>
    </row>
    <row r="15" spans="1:19" ht="48">
      <c r="A15" s="165">
        <v>11</v>
      </c>
      <c r="B15" s="173" t="s">
        <v>701</v>
      </c>
      <c r="C15" s="165">
        <v>510</v>
      </c>
      <c r="D15" s="165">
        <v>112</v>
      </c>
      <c r="E15" s="165">
        <v>21</v>
      </c>
      <c r="F15" s="165"/>
      <c r="G15" s="164">
        <f t="shared" si="0"/>
        <v>643</v>
      </c>
      <c r="H15" s="165"/>
      <c r="I15" s="165"/>
      <c r="J15" s="165"/>
      <c r="K15" s="165"/>
      <c r="L15" s="172"/>
      <c r="M15" s="165"/>
      <c r="N15" s="165"/>
      <c r="O15" s="172">
        <v>5</v>
      </c>
      <c r="P15" s="165"/>
      <c r="Q15" s="172"/>
      <c r="R15" s="165"/>
      <c r="S15" s="170">
        <f t="shared" si="1"/>
        <v>648</v>
      </c>
    </row>
    <row r="16" spans="1:19" ht="48">
      <c r="A16" s="165">
        <v>12</v>
      </c>
      <c r="B16" s="171" t="s">
        <v>702</v>
      </c>
      <c r="C16" s="165">
        <v>450</v>
      </c>
      <c r="D16" s="165">
        <v>144</v>
      </c>
      <c r="E16" s="165">
        <v>21</v>
      </c>
      <c r="F16" s="165"/>
      <c r="G16" s="164">
        <f t="shared" si="0"/>
        <v>615</v>
      </c>
      <c r="H16" s="165"/>
      <c r="I16" s="165"/>
      <c r="J16" s="165"/>
      <c r="K16" s="165"/>
      <c r="L16" s="172"/>
      <c r="M16" s="165"/>
      <c r="N16" s="165"/>
      <c r="O16" s="172">
        <v>5</v>
      </c>
      <c r="P16" s="165"/>
      <c r="Q16" s="172"/>
      <c r="R16" s="165"/>
      <c r="S16" s="166">
        <f t="shared" si="1"/>
        <v>620</v>
      </c>
    </row>
    <row r="17" spans="1:19" ht="48">
      <c r="A17" s="165">
        <v>13</v>
      </c>
      <c r="B17" s="174" t="s">
        <v>703</v>
      </c>
      <c r="C17" s="165">
        <v>480</v>
      </c>
      <c r="D17" s="165">
        <v>124</v>
      </c>
      <c r="E17" s="165">
        <v>45</v>
      </c>
      <c r="F17" s="165"/>
      <c r="G17" s="164">
        <f t="shared" si="0"/>
        <v>649</v>
      </c>
      <c r="H17" s="165"/>
      <c r="I17" s="165"/>
      <c r="J17" s="165"/>
      <c r="K17" s="165"/>
      <c r="L17" s="172"/>
      <c r="M17" s="165"/>
      <c r="N17" s="165"/>
      <c r="O17" s="172">
        <v>5</v>
      </c>
      <c r="P17" s="165"/>
      <c r="Q17" s="172"/>
      <c r="R17" s="165"/>
      <c r="S17" s="170">
        <f t="shared" si="1"/>
        <v>654</v>
      </c>
    </row>
    <row r="18" spans="1:19" ht="60">
      <c r="A18" s="165">
        <v>14</v>
      </c>
      <c r="B18" s="171" t="s">
        <v>704</v>
      </c>
      <c r="C18" s="165">
        <v>190</v>
      </c>
      <c r="D18" s="165">
        <v>308</v>
      </c>
      <c r="E18" s="165">
        <v>57</v>
      </c>
      <c r="F18" s="165"/>
      <c r="G18" s="164">
        <f t="shared" si="0"/>
        <v>555</v>
      </c>
      <c r="H18" s="165"/>
      <c r="I18" s="165"/>
      <c r="J18" s="165"/>
      <c r="K18" s="165"/>
      <c r="L18" s="172"/>
      <c r="M18" s="165"/>
      <c r="N18" s="165"/>
      <c r="O18" s="172">
        <v>5</v>
      </c>
      <c r="P18" s="165"/>
      <c r="Q18" s="172"/>
      <c r="R18" s="165"/>
      <c r="S18" s="166">
        <f t="shared" si="1"/>
        <v>560</v>
      </c>
    </row>
    <row r="19" spans="1:19" ht="48">
      <c r="A19" s="165">
        <v>15</v>
      </c>
      <c r="B19" s="174" t="s">
        <v>705</v>
      </c>
      <c r="C19" s="165">
        <v>140</v>
      </c>
      <c r="D19" s="165">
        <v>308</v>
      </c>
      <c r="E19" s="165">
        <v>96</v>
      </c>
      <c r="F19" s="165"/>
      <c r="G19" s="164">
        <f t="shared" si="0"/>
        <v>544</v>
      </c>
      <c r="H19" s="165">
        <v>-4</v>
      </c>
      <c r="I19" s="165"/>
      <c r="J19" s="165"/>
      <c r="K19" s="165"/>
      <c r="L19" s="172"/>
      <c r="M19" s="165"/>
      <c r="N19" s="165"/>
      <c r="O19" s="172">
        <v>5</v>
      </c>
      <c r="P19" s="165"/>
      <c r="Q19" s="172"/>
      <c r="R19" s="165"/>
      <c r="S19" s="166">
        <f t="shared" si="1"/>
        <v>545</v>
      </c>
    </row>
    <row r="20" spans="1:19" ht="48">
      <c r="A20" s="165">
        <v>16</v>
      </c>
      <c r="B20" s="163" t="s">
        <v>706</v>
      </c>
      <c r="C20" s="165">
        <v>145</v>
      </c>
      <c r="D20" s="165">
        <v>332</v>
      </c>
      <c r="E20" s="165">
        <v>33</v>
      </c>
      <c r="F20" s="165"/>
      <c r="G20" s="164">
        <f t="shared" si="0"/>
        <v>510</v>
      </c>
      <c r="H20" s="165">
        <v>-4</v>
      </c>
      <c r="I20" s="165"/>
      <c r="J20" s="165"/>
      <c r="K20" s="165"/>
      <c r="L20" s="172"/>
      <c r="M20" s="165"/>
      <c r="N20" s="165"/>
      <c r="O20" s="172">
        <v>5</v>
      </c>
      <c r="P20" s="165"/>
      <c r="Q20" s="172"/>
      <c r="R20" s="165"/>
      <c r="S20" s="166">
        <f t="shared" si="1"/>
        <v>511</v>
      </c>
    </row>
    <row r="21" spans="1:19" ht="60">
      <c r="A21" s="165">
        <v>17</v>
      </c>
      <c r="B21" s="174" t="s">
        <v>707</v>
      </c>
      <c r="C21" s="165">
        <v>88</v>
      </c>
      <c r="D21" s="165">
        <v>412</v>
      </c>
      <c r="E21" s="165">
        <v>45</v>
      </c>
      <c r="F21" s="165"/>
      <c r="G21" s="164">
        <f t="shared" si="0"/>
        <v>545</v>
      </c>
      <c r="H21" s="165"/>
      <c r="I21" s="165"/>
      <c r="J21" s="165"/>
      <c r="K21" s="165"/>
      <c r="L21" s="172"/>
      <c r="M21" s="165"/>
      <c r="N21" s="165"/>
      <c r="O21" s="172">
        <v>5</v>
      </c>
      <c r="P21" s="165"/>
      <c r="Q21" s="172"/>
      <c r="R21" s="165"/>
      <c r="S21" s="166">
        <f t="shared" si="1"/>
        <v>550</v>
      </c>
    </row>
    <row r="22" spans="1:19" ht="48">
      <c r="A22" s="165">
        <v>18</v>
      </c>
      <c r="B22" s="171" t="s">
        <v>708</v>
      </c>
      <c r="C22" s="165">
        <v>120</v>
      </c>
      <c r="D22" s="165">
        <v>384</v>
      </c>
      <c r="E22" s="165">
        <v>54</v>
      </c>
      <c r="F22" s="165"/>
      <c r="G22" s="164">
        <f t="shared" si="0"/>
        <v>558</v>
      </c>
      <c r="H22" s="165"/>
      <c r="I22" s="165"/>
      <c r="J22" s="165"/>
      <c r="K22" s="165"/>
      <c r="L22" s="172"/>
      <c r="M22" s="165"/>
      <c r="N22" s="165"/>
      <c r="O22" s="172">
        <v>5</v>
      </c>
      <c r="P22" s="165"/>
      <c r="Q22" s="172"/>
      <c r="R22" s="165"/>
      <c r="S22" s="166">
        <f t="shared" si="1"/>
        <v>563</v>
      </c>
    </row>
    <row r="23" spans="1:19" ht="48">
      <c r="A23" s="162">
        <v>19</v>
      </c>
      <c r="B23" s="171" t="s">
        <v>709</v>
      </c>
      <c r="C23" s="162">
        <v>75</v>
      </c>
      <c r="D23" s="162">
        <v>316</v>
      </c>
      <c r="E23" s="162">
        <v>120</v>
      </c>
      <c r="F23" s="162"/>
      <c r="G23" s="164">
        <f t="shared" si="0"/>
        <v>511</v>
      </c>
      <c r="H23" s="162">
        <v>-10</v>
      </c>
      <c r="I23" s="162"/>
      <c r="J23" s="162"/>
      <c r="K23" s="162"/>
      <c r="L23" s="167"/>
      <c r="M23" s="165"/>
      <c r="N23" s="162"/>
      <c r="O23" s="172">
        <v>5</v>
      </c>
      <c r="P23" s="162"/>
      <c r="Q23" s="167"/>
      <c r="R23" s="162"/>
      <c r="S23" s="166">
        <f t="shared" si="1"/>
        <v>506</v>
      </c>
    </row>
    <row r="24" spans="1:19" ht="36">
      <c r="A24" s="162">
        <v>20</v>
      </c>
      <c r="B24" s="163" t="s">
        <v>710</v>
      </c>
      <c r="C24" s="162">
        <v>405</v>
      </c>
      <c r="D24" s="162">
        <v>208</v>
      </c>
      <c r="E24" s="162">
        <v>21</v>
      </c>
      <c r="F24" s="162"/>
      <c r="G24" s="164">
        <f t="shared" si="0"/>
        <v>634</v>
      </c>
      <c r="H24" s="162">
        <v>-2</v>
      </c>
      <c r="I24" s="162"/>
      <c r="J24" s="162"/>
      <c r="K24" s="162"/>
      <c r="L24" s="167"/>
      <c r="M24" s="165"/>
      <c r="N24" s="162"/>
      <c r="O24" s="172">
        <v>5</v>
      </c>
      <c r="P24" s="162"/>
      <c r="Q24" s="167"/>
      <c r="R24" s="162"/>
      <c r="S24" s="166">
        <f t="shared" si="1"/>
        <v>637</v>
      </c>
    </row>
    <row r="25" spans="1:19" ht="48">
      <c r="A25" s="162">
        <v>21</v>
      </c>
      <c r="B25" s="175" t="s">
        <v>711</v>
      </c>
      <c r="C25" s="176">
        <v>405</v>
      </c>
      <c r="D25" s="176">
        <v>196</v>
      </c>
      <c r="E25" s="162">
        <v>15</v>
      </c>
      <c r="F25" s="162"/>
      <c r="G25" s="164">
        <f t="shared" si="0"/>
        <v>616</v>
      </c>
      <c r="H25" s="162">
        <v>-6</v>
      </c>
      <c r="I25" s="162"/>
      <c r="J25" s="162"/>
      <c r="K25" s="162"/>
      <c r="L25" s="167"/>
      <c r="M25" s="165"/>
      <c r="N25" s="162"/>
      <c r="O25" s="172">
        <v>5</v>
      </c>
      <c r="P25" s="162"/>
      <c r="Q25" s="167"/>
      <c r="R25" s="162"/>
      <c r="S25" s="166">
        <f t="shared" si="1"/>
        <v>615</v>
      </c>
    </row>
    <row r="26" spans="1:19" ht="48">
      <c r="A26" s="162">
        <v>22</v>
      </c>
      <c r="B26" s="168" t="s">
        <v>712</v>
      </c>
      <c r="C26" s="176">
        <v>80</v>
      </c>
      <c r="D26" s="176">
        <v>332</v>
      </c>
      <c r="E26" s="162">
        <v>111</v>
      </c>
      <c r="F26" s="162"/>
      <c r="G26" s="164">
        <f t="shared" si="0"/>
        <v>523</v>
      </c>
      <c r="H26" s="162"/>
      <c r="I26" s="162"/>
      <c r="J26" s="162"/>
      <c r="K26" s="162"/>
      <c r="L26" s="167"/>
      <c r="M26" s="165"/>
      <c r="N26" s="162"/>
      <c r="O26" s="172">
        <v>5</v>
      </c>
      <c r="P26" s="162"/>
      <c r="Q26" s="167"/>
      <c r="R26" s="167"/>
      <c r="S26" s="166">
        <f t="shared" si="1"/>
        <v>528</v>
      </c>
    </row>
    <row r="27" spans="1:19" ht="36">
      <c r="A27" s="162">
        <v>23</v>
      </c>
      <c r="B27" s="163" t="s">
        <v>713</v>
      </c>
      <c r="C27" s="176">
        <v>290</v>
      </c>
      <c r="D27" s="176">
        <v>300</v>
      </c>
      <c r="E27" s="162">
        <v>15</v>
      </c>
      <c r="F27" s="162"/>
      <c r="G27" s="164">
        <f t="shared" si="0"/>
        <v>605</v>
      </c>
      <c r="H27" s="162"/>
      <c r="I27" s="162"/>
      <c r="J27" s="162"/>
      <c r="K27" s="162"/>
      <c r="L27" s="167"/>
      <c r="M27" s="165"/>
      <c r="N27" s="162"/>
      <c r="O27" s="172">
        <v>5</v>
      </c>
      <c r="P27" s="162"/>
      <c r="Q27" s="167"/>
      <c r="R27" s="162"/>
      <c r="S27" s="166">
        <f t="shared" si="1"/>
        <v>610</v>
      </c>
    </row>
    <row r="28" spans="1:19" ht="36">
      <c r="A28" s="162">
        <v>24</v>
      </c>
      <c r="B28" s="177" t="s">
        <v>714</v>
      </c>
      <c r="C28" s="176">
        <v>335</v>
      </c>
      <c r="D28" s="176">
        <v>272</v>
      </c>
      <c r="E28" s="162">
        <v>12</v>
      </c>
      <c r="F28" s="162"/>
      <c r="G28" s="164">
        <f t="shared" si="0"/>
        <v>619</v>
      </c>
      <c r="H28" s="162"/>
      <c r="I28" s="162"/>
      <c r="J28" s="162"/>
      <c r="K28" s="162"/>
      <c r="L28" s="167"/>
      <c r="M28" s="165"/>
      <c r="N28" s="162"/>
      <c r="O28" s="172">
        <v>5</v>
      </c>
      <c r="P28" s="162"/>
      <c r="Q28" s="167"/>
      <c r="R28" s="162"/>
      <c r="S28" s="166">
        <f t="shared" si="1"/>
        <v>624</v>
      </c>
    </row>
    <row r="29" spans="1:19" ht="48">
      <c r="A29" s="162">
        <v>25</v>
      </c>
      <c r="B29" s="175" t="s">
        <v>715</v>
      </c>
      <c r="C29" s="176">
        <v>290</v>
      </c>
      <c r="D29" s="176">
        <v>232</v>
      </c>
      <c r="E29" s="162">
        <v>69</v>
      </c>
      <c r="F29" s="162"/>
      <c r="G29" s="164">
        <f t="shared" si="0"/>
        <v>591</v>
      </c>
      <c r="H29" s="162">
        <v>-8</v>
      </c>
      <c r="I29" s="162"/>
      <c r="J29" s="162"/>
      <c r="K29" s="162"/>
      <c r="L29" s="167"/>
      <c r="M29" s="165"/>
      <c r="N29" s="162"/>
      <c r="O29" s="172">
        <v>5</v>
      </c>
      <c r="P29" s="162"/>
      <c r="Q29" s="167"/>
      <c r="R29" s="162"/>
      <c r="S29" s="166">
        <f t="shared" si="1"/>
        <v>588</v>
      </c>
    </row>
    <row r="30" spans="1:19" ht="48">
      <c r="A30" s="162">
        <v>26</v>
      </c>
      <c r="B30" s="178" t="s">
        <v>716</v>
      </c>
      <c r="C30" s="176">
        <v>200</v>
      </c>
      <c r="D30" s="176">
        <v>384</v>
      </c>
      <c r="E30" s="162">
        <v>3</v>
      </c>
      <c r="F30" s="162"/>
      <c r="G30" s="164">
        <f t="shared" si="0"/>
        <v>587</v>
      </c>
      <c r="H30" s="162"/>
      <c r="I30" s="162"/>
      <c r="J30" s="162"/>
      <c r="K30" s="162"/>
      <c r="L30" s="167"/>
      <c r="M30" s="165"/>
      <c r="N30" s="162"/>
      <c r="O30" s="172">
        <v>5</v>
      </c>
      <c r="P30" s="162"/>
      <c r="Q30" s="167"/>
      <c r="R30" s="162"/>
      <c r="S30" s="166">
        <f t="shared" si="1"/>
        <v>592</v>
      </c>
    </row>
    <row r="31" spans="1:19" ht="48">
      <c r="A31" s="162">
        <v>27</v>
      </c>
      <c r="B31" s="175" t="s">
        <v>717</v>
      </c>
      <c r="C31" s="176">
        <v>150</v>
      </c>
      <c r="D31" s="176">
        <v>352</v>
      </c>
      <c r="E31" s="162">
        <v>39</v>
      </c>
      <c r="F31" s="162"/>
      <c r="G31" s="164">
        <f t="shared" si="0"/>
        <v>541</v>
      </c>
      <c r="H31" s="162">
        <v>-4</v>
      </c>
      <c r="I31" s="162"/>
      <c r="J31" s="162"/>
      <c r="K31" s="162"/>
      <c r="L31" s="167"/>
      <c r="M31" s="165"/>
      <c r="N31" s="162"/>
      <c r="O31" s="172">
        <v>5</v>
      </c>
      <c r="P31" s="179"/>
      <c r="Q31" s="167"/>
      <c r="R31" s="179"/>
      <c r="S31" s="166">
        <f t="shared" si="1"/>
        <v>542</v>
      </c>
    </row>
    <row r="32" spans="1:19" ht="48">
      <c r="A32" s="162">
        <v>28</v>
      </c>
      <c r="B32" s="163" t="s">
        <v>718</v>
      </c>
      <c r="C32" s="176">
        <v>370</v>
      </c>
      <c r="D32" s="176">
        <v>156</v>
      </c>
      <c r="E32" s="162">
        <v>81</v>
      </c>
      <c r="F32" s="162"/>
      <c r="G32" s="164">
        <f t="shared" si="0"/>
        <v>607</v>
      </c>
      <c r="H32" s="162">
        <v>-4</v>
      </c>
      <c r="I32" s="162"/>
      <c r="J32" s="162"/>
      <c r="K32" s="162"/>
      <c r="L32" s="167"/>
      <c r="M32" s="165"/>
      <c r="N32" s="162"/>
      <c r="O32" s="172">
        <v>5</v>
      </c>
      <c r="P32" s="167"/>
      <c r="Q32" s="167"/>
      <c r="R32" s="167"/>
      <c r="S32" s="166">
        <f t="shared" si="1"/>
        <v>608</v>
      </c>
    </row>
    <row r="33" spans="1:19" ht="48">
      <c r="A33" s="162">
        <v>29</v>
      </c>
      <c r="B33" s="163" t="s">
        <v>719</v>
      </c>
      <c r="C33" s="176">
        <v>435</v>
      </c>
      <c r="D33" s="176">
        <v>116</v>
      </c>
      <c r="E33" s="162">
        <v>75</v>
      </c>
      <c r="F33" s="162"/>
      <c r="G33" s="164">
        <f t="shared" si="0"/>
        <v>626</v>
      </c>
      <c r="H33" s="162"/>
      <c r="I33" s="162"/>
      <c r="J33" s="162"/>
      <c r="K33" s="162"/>
      <c r="L33" s="167"/>
      <c r="M33" s="165"/>
      <c r="N33" s="162"/>
      <c r="O33" s="172">
        <v>5</v>
      </c>
      <c r="P33" s="167"/>
      <c r="Q33" s="167"/>
      <c r="R33" s="167"/>
      <c r="S33" s="166">
        <f t="shared" si="1"/>
        <v>631</v>
      </c>
    </row>
    <row r="34" spans="1:19" ht="48">
      <c r="A34" s="162">
        <v>30</v>
      </c>
      <c r="B34" s="163" t="s">
        <v>720</v>
      </c>
      <c r="C34" s="176">
        <v>475</v>
      </c>
      <c r="D34" s="176">
        <v>96</v>
      </c>
      <c r="E34" s="162">
        <v>60</v>
      </c>
      <c r="F34" s="162"/>
      <c r="G34" s="164">
        <f t="shared" si="0"/>
        <v>631</v>
      </c>
      <c r="H34" s="162">
        <v>-4</v>
      </c>
      <c r="I34" s="162"/>
      <c r="J34" s="162"/>
      <c r="K34" s="162"/>
      <c r="L34" s="167"/>
      <c r="M34" s="165"/>
      <c r="N34" s="162"/>
      <c r="O34" s="172">
        <v>5</v>
      </c>
      <c r="P34" s="167"/>
      <c r="Q34" s="167"/>
      <c r="R34" s="167"/>
      <c r="S34" s="166">
        <f t="shared" si="1"/>
        <v>632</v>
      </c>
    </row>
    <row r="35" spans="1:19" ht="1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</row>
    <row r="37" spans="1:19" ht="15">
      <c r="A37" s="358" t="s">
        <v>721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</row>
  </sheetData>
  <sheetProtection/>
  <mergeCells count="21">
    <mergeCell ref="N3:N4"/>
    <mergeCell ref="H3:H4"/>
    <mergeCell ref="P3:P4"/>
    <mergeCell ref="Q3:Q4"/>
    <mergeCell ref="R3:R4"/>
    <mergeCell ref="S3:S4"/>
    <mergeCell ref="A37:S37"/>
    <mergeCell ref="J3:J4"/>
    <mergeCell ref="K3:K4"/>
    <mergeCell ref="L3:L4"/>
    <mergeCell ref="M3:M4"/>
    <mergeCell ref="I3:I4"/>
    <mergeCell ref="O3:O4"/>
    <mergeCell ref="A1:S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S29"/>
    </sheetView>
  </sheetViews>
  <sheetFormatPr defaultColWidth="9.140625" defaultRowHeight="15"/>
  <sheetData>
    <row r="1" spans="1:19" ht="18.75">
      <c r="A1" s="303" t="s">
        <v>722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SUM(S5:S28)</f>
        <v>18572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39.75" thickBot="1">
      <c r="A5" s="26">
        <v>1</v>
      </c>
      <c r="B5" s="181" t="s">
        <v>723</v>
      </c>
      <c r="C5" s="26">
        <f>5*78</f>
        <v>390</v>
      </c>
      <c r="D5" s="26">
        <f>4*65</f>
        <v>260</v>
      </c>
      <c r="E5" s="26">
        <f>3*3</f>
        <v>9</v>
      </c>
      <c r="F5" s="26">
        <f>-2*1</f>
        <v>-2</v>
      </c>
      <c r="G5" s="28"/>
      <c r="H5" s="26"/>
      <c r="I5" s="26"/>
      <c r="J5" s="26"/>
      <c r="K5" s="29"/>
      <c r="L5" s="29"/>
      <c r="M5" s="29"/>
      <c r="N5" s="29"/>
      <c r="O5" s="29"/>
      <c r="P5" s="29"/>
      <c r="Q5" s="29">
        <v>5</v>
      </c>
      <c r="R5" s="29"/>
      <c r="S5" s="30">
        <f>SUM(C5:R5)</f>
        <v>662</v>
      </c>
    </row>
    <row r="6" spans="1:19" ht="39.75" thickBot="1">
      <c r="A6" s="26">
        <v>2</v>
      </c>
      <c r="B6" s="182" t="s">
        <v>724</v>
      </c>
      <c r="C6" s="26">
        <f>5*142</f>
        <v>710</v>
      </c>
      <c r="D6" s="26">
        <f>4*36</f>
        <v>144</v>
      </c>
      <c r="E6" s="26"/>
      <c r="F6" s="26"/>
      <c r="G6" s="28"/>
      <c r="H6" s="26"/>
      <c r="I6" s="26"/>
      <c r="J6" s="26"/>
      <c r="K6" s="31">
        <v>20</v>
      </c>
      <c r="L6" s="31"/>
      <c r="M6" s="29">
        <v>3</v>
      </c>
      <c r="N6" s="29"/>
      <c r="O6" s="31"/>
      <c r="P6" s="31"/>
      <c r="Q6" s="29">
        <v>5</v>
      </c>
      <c r="R6" s="31"/>
      <c r="S6" s="30">
        <f aca="true" t="shared" si="0" ref="S6:S28">SUM(C6:R6)</f>
        <v>882</v>
      </c>
    </row>
    <row r="7" spans="1:19" ht="39.75" thickBot="1">
      <c r="A7" s="26">
        <v>3</v>
      </c>
      <c r="B7" s="182" t="s">
        <v>725</v>
      </c>
      <c r="C7" s="26">
        <f>5*140</f>
        <v>700</v>
      </c>
      <c r="D7" s="26">
        <f>4*26</f>
        <v>104</v>
      </c>
      <c r="E7" s="26"/>
      <c r="F7" s="26">
        <v>-2</v>
      </c>
      <c r="G7" s="28"/>
      <c r="H7" s="26"/>
      <c r="I7" s="26"/>
      <c r="J7" s="26"/>
      <c r="K7" s="31"/>
      <c r="L7" s="31"/>
      <c r="M7" s="29">
        <f>5+3+5</f>
        <v>13</v>
      </c>
      <c r="N7" s="29"/>
      <c r="O7" s="31"/>
      <c r="P7" s="31"/>
      <c r="Q7" s="29">
        <v>5</v>
      </c>
      <c r="R7" s="31"/>
      <c r="S7" s="30">
        <f t="shared" si="0"/>
        <v>820</v>
      </c>
    </row>
    <row r="8" spans="1:19" ht="39.75" thickBot="1">
      <c r="A8" s="26">
        <v>4</v>
      </c>
      <c r="B8" s="182" t="s">
        <v>726</v>
      </c>
      <c r="C8" s="26">
        <f>5*125</f>
        <v>625</v>
      </c>
      <c r="D8" s="26">
        <f>4*30</f>
        <v>120</v>
      </c>
      <c r="E8" s="26">
        <f>3*1</f>
        <v>3</v>
      </c>
      <c r="F8" s="26"/>
      <c r="G8" s="28"/>
      <c r="H8" s="26"/>
      <c r="I8" s="26"/>
      <c r="J8" s="26"/>
      <c r="K8" s="31"/>
      <c r="L8" s="31"/>
      <c r="M8" s="29"/>
      <c r="N8" s="29"/>
      <c r="O8" s="31"/>
      <c r="P8" s="31"/>
      <c r="Q8" s="29">
        <v>5</v>
      </c>
      <c r="R8" s="31"/>
      <c r="S8" s="30">
        <f t="shared" si="0"/>
        <v>753</v>
      </c>
    </row>
    <row r="9" spans="1:19" ht="27" thickBot="1">
      <c r="A9" s="26">
        <v>5</v>
      </c>
      <c r="B9" s="182" t="s">
        <v>727</v>
      </c>
      <c r="C9" s="26">
        <f>5*126</f>
        <v>630</v>
      </c>
      <c r="D9" s="26">
        <f>4*29</f>
        <v>116</v>
      </c>
      <c r="E9" s="26">
        <v>3</v>
      </c>
      <c r="F9" s="26"/>
      <c r="G9" s="28"/>
      <c r="H9" s="26"/>
      <c r="I9" s="26"/>
      <c r="J9" s="26"/>
      <c r="K9" s="31">
        <v>20</v>
      </c>
      <c r="L9" s="31"/>
      <c r="M9" s="29"/>
      <c r="N9" s="29"/>
      <c r="O9" s="31"/>
      <c r="P9" s="31"/>
      <c r="Q9" s="29">
        <v>5</v>
      </c>
      <c r="R9" s="31"/>
      <c r="S9" s="30">
        <f t="shared" si="0"/>
        <v>774</v>
      </c>
    </row>
    <row r="10" spans="1:19" ht="27" thickBot="1">
      <c r="A10" s="26">
        <v>6</v>
      </c>
      <c r="B10" s="182" t="s">
        <v>728</v>
      </c>
      <c r="C10" s="26">
        <f>5*103</f>
        <v>515</v>
      </c>
      <c r="D10" s="26">
        <f>4*56</f>
        <v>224</v>
      </c>
      <c r="E10" s="26">
        <v>3</v>
      </c>
      <c r="F10" s="26"/>
      <c r="G10" s="28"/>
      <c r="H10" s="26"/>
      <c r="I10" s="26"/>
      <c r="J10" s="26"/>
      <c r="K10" s="31"/>
      <c r="L10" s="31"/>
      <c r="M10" s="29"/>
      <c r="N10" s="29"/>
      <c r="O10" s="31"/>
      <c r="P10" s="31"/>
      <c r="Q10" s="29">
        <v>5</v>
      </c>
      <c r="R10" s="31"/>
      <c r="S10" s="30">
        <f t="shared" si="0"/>
        <v>747</v>
      </c>
    </row>
    <row r="11" spans="1:19" ht="39.75" thickBot="1">
      <c r="A11" s="26">
        <v>7</v>
      </c>
      <c r="B11" s="182" t="s">
        <v>729</v>
      </c>
      <c r="C11" s="26">
        <f>5*110</f>
        <v>550</v>
      </c>
      <c r="D11" s="26">
        <f>4*40</f>
        <v>160</v>
      </c>
      <c r="E11" s="26">
        <f>3*2</f>
        <v>6</v>
      </c>
      <c r="F11" s="26"/>
      <c r="G11" s="28"/>
      <c r="H11" s="26"/>
      <c r="I11" s="26"/>
      <c r="J11" s="26"/>
      <c r="K11" s="31"/>
      <c r="L11" s="31"/>
      <c r="M11" s="29">
        <v>3</v>
      </c>
      <c r="N11" s="29"/>
      <c r="O11" s="31"/>
      <c r="P11" s="31"/>
      <c r="Q11" s="29">
        <v>5</v>
      </c>
      <c r="R11" s="31"/>
      <c r="S11" s="30">
        <f t="shared" si="0"/>
        <v>724</v>
      </c>
    </row>
    <row r="12" spans="1:19" ht="52.5" thickBot="1">
      <c r="A12" s="26">
        <v>8</v>
      </c>
      <c r="B12" s="182" t="s">
        <v>730</v>
      </c>
      <c r="C12" s="26">
        <f>5*99</f>
        <v>495</v>
      </c>
      <c r="D12" s="26">
        <f>4*59</f>
        <v>236</v>
      </c>
      <c r="E12" s="26">
        <f>3*3</f>
        <v>9</v>
      </c>
      <c r="F12" s="26"/>
      <c r="G12" s="28"/>
      <c r="H12" s="26"/>
      <c r="I12" s="26"/>
      <c r="J12" s="26"/>
      <c r="K12" s="31"/>
      <c r="L12" s="31"/>
      <c r="M12" s="29"/>
      <c r="N12" s="29"/>
      <c r="O12" s="31"/>
      <c r="P12" s="31"/>
      <c r="Q12" s="29">
        <v>5</v>
      </c>
      <c r="R12" s="31"/>
      <c r="S12" s="30">
        <f t="shared" si="0"/>
        <v>745</v>
      </c>
    </row>
    <row r="13" spans="1:19" ht="27" thickBot="1">
      <c r="A13" s="26">
        <v>9</v>
      </c>
      <c r="B13" s="182" t="s">
        <v>731</v>
      </c>
      <c r="C13" s="26">
        <f>5*139</f>
        <v>695</v>
      </c>
      <c r="D13" s="26">
        <f>4*20</f>
        <v>80</v>
      </c>
      <c r="E13" s="26">
        <v>3</v>
      </c>
      <c r="F13" s="32"/>
      <c r="G13" s="28"/>
      <c r="H13" s="32"/>
      <c r="I13" s="32"/>
      <c r="J13" s="32"/>
      <c r="K13" s="34">
        <v>20</v>
      </c>
      <c r="L13" s="34"/>
      <c r="M13" s="32"/>
      <c r="N13" s="32"/>
      <c r="O13" s="34"/>
      <c r="P13" s="34"/>
      <c r="Q13" s="32">
        <v>5</v>
      </c>
      <c r="R13" s="34"/>
      <c r="S13" s="30">
        <f t="shared" si="0"/>
        <v>803</v>
      </c>
    </row>
    <row r="14" spans="1:19" ht="39.75" thickBot="1">
      <c r="A14" s="26">
        <v>10</v>
      </c>
      <c r="B14" s="182" t="s">
        <v>732</v>
      </c>
      <c r="C14" s="26">
        <f>5*101</f>
        <v>505</v>
      </c>
      <c r="D14" s="26">
        <f>4*60</f>
        <v>240</v>
      </c>
      <c r="E14" s="26">
        <f>3*3</f>
        <v>9</v>
      </c>
      <c r="F14" s="32"/>
      <c r="G14" s="28"/>
      <c r="H14" s="32"/>
      <c r="I14" s="32"/>
      <c r="J14" s="32"/>
      <c r="K14" s="34"/>
      <c r="L14" s="34"/>
      <c r="M14" s="32"/>
      <c r="N14" s="32"/>
      <c r="O14" s="34"/>
      <c r="P14" s="34"/>
      <c r="Q14" s="32">
        <v>5</v>
      </c>
      <c r="R14" s="34"/>
      <c r="S14" s="30">
        <f t="shared" si="0"/>
        <v>759</v>
      </c>
    </row>
    <row r="15" spans="1:19" ht="39.75" thickBot="1">
      <c r="A15" s="26">
        <v>11</v>
      </c>
      <c r="B15" s="182" t="s">
        <v>733</v>
      </c>
      <c r="C15" s="26">
        <f>5*99</f>
        <v>495</v>
      </c>
      <c r="D15" s="26">
        <f>4*68</f>
        <v>272</v>
      </c>
      <c r="E15" s="26">
        <f>3*3</f>
        <v>9</v>
      </c>
      <c r="F15" s="26"/>
      <c r="G15" s="28"/>
      <c r="H15" s="26"/>
      <c r="I15" s="26"/>
      <c r="J15" s="26"/>
      <c r="K15" s="31"/>
      <c r="L15" s="31"/>
      <c r="M15" s="29"/>
      <c r="N15" s="29"/>
      <c r="O15" s="31"/>
      <c r="P15" s="31"/>
      <c r="Q15" s="29"/>
      <c r="R15" s="31"/>
      <c r="S15" s="30">
        <f t="shared" si="0"/>
        <v>776</v>
      </c>
    </row>
    <row r="16" spans="1:19" ht="27" thickBot="1">
      <c r="A16" s="26">
        <v>12</v>
      </c>
      <c r="B16" s="182" t="s">
        <v>734</v>
      </c>
      <c r="C16" s="26">
        <f>5*104</f>
        <v>520</v>
      </c>
      <c r="D16" s="26">
        <f>4*62</f>
        <v>248</v>
      </c>
      <c r="E16" s="26">
        <f>3*5</f>
        <v>15</v>
      </c>
      <c r="F16" s="32"/>
      <c r="G16" s="28"/>
      <c r="H16" s="32"/>
      <c r="I16" s="32"/>
      <c r="J16" s="32"/>
      <c r="K16" s="34"/>
      <c r="L16" s="34"/>
      <c r="M16" s="32"/>
      <c r="N16" s="32"/>
      <c r="O16" s="34"/>
      <c r="P16" s="34"/>
      <c r="Q16" s="32"/>
      <c r="R16" s="34"/>
      <c r="S16" s="30">
        <f t="shared" si="0"/>
        <v>783</v>
      </c>
    </row>
    <row r="17" spans="1:19" ht="39.75" thickBot="1">
      <c r="A17" s="26">
        <v>13</v>
      </c>
      <c r="B17" s="182" t="s">
        <v>735</v>
      </c>
      <c r="C17" s="26">
        <f>5*120</f>
        <v>600</v>
      </c>
      <c r="D17" s="26">
        <f>4*30</f>
        <v>120</v>
      </c>
      <c r="E17" s="26"/>
      <c r="F17" s="26"/>
      <c r="G17" s="28"/>
      <c r="H17" s="26"/>
      <c r="I17" s="26"/>
      <c r="J17" s="26"/>
      <c r="K17" s="31"/>
      <c r="L17" s="31"/>
      <c r="M17" s="29"/>
      <c r="N17" s="29"/>
      <c r="O17" s="31"/>
      <c r="P17" s="31"/>
      <c r="Q17" s="29"/>
      <c r="R17" s="31"/>
      <c r="S17" s="30">
        <f t="shared" si="0"/>
        <v>720</v>
      </c>
    </row>
    <row r="18" spans="1:19" ht="27" thickBot="1">
      <c r="A18" s="26">
        <v>14</v>
      </c>
      <c r="B18" s="182" t="s">
        <v>736</v>
      </c>
      <c r="C18" s="26">
        <f>5*132</f>
        <v>660</v>
      </c>
      <c r="D18" s="26">
        <f>4*33</f>
        <v>132</v>
      </c>
      <c r="E18" s="26"/>
      <c r="F18" s="26"/>
      <c r="G18" s="28"/>
      <c r="H18" s="26"/>
      <c r="I18" s="26"/>
      <c r="J18" s="26"/>
      <c r="K18" s="31"/>
      <c r="L18" s="31"/>
      <c r="M18" s="29"/>
      <c r="N18" s="29"/>
      <c r="O18" s="31"/>
      <c r="P18" s="31"/>
      <c r="Q18" s="29"/>
      <c r="R18" s="31"/>
      <c r="S18" s="30">
        <f t="shared" si="0"/>
        <v>792</v>
      </c>
    </row>
    <row r="19" spans="1:19" ht="27" thickBot="1">
      <c r="A19" s="26">
        <v>15</v>
      </c>
      <c r="B19" s="182" t="s">
        <v>737</v>
      </c>
      <c r="C19" s="26">
        <f>5*89</f>
        <v>445</v>
      </c>
      <c r="D19" s="26">
        <f>4*78</f>
        <v>312</v>
      </c>
      <c r="E19" s="26"/>
      <c r="F19" s="26">
        <v>-4</v>
      </c>
      <c r="G19" s="28"/>
      <c r="H19" s="26"/>
      <c r="I19" s="26"/>
      <c r="J19" s="26"/>
      <c r="K19" s="31"/>
      <c r="L19" s="31"/>
      <c r="M19" s="29"/>
      <c r="N19" s="29"/>
      <c r="O19" s="31"/>
      <c r="P19" s="31"/>
      <c r="Q19" s="29"/>
      <c r="R19" s="31"/>
      <c r="S19" s="30">
        <f t="shared" si="0"/>
        <v>753</v>
      </c>
    </row>
    <row r="20" spans="1:19" ht="27" thickBot="1">
      <c r="A20" s="26">
        <v>16</v>
      </c>
      <c r="B20" s="182" t="s">
        <v>738</v>
      </c>
      <c r="C20" s="26">
        <f>5*108</f>
        <v>540</v>
      </c>
      <c r="D20" s="26">
        <f>4*56</f>
        <v>224</v>
      </c>
      <c r="E20" s="26">
        <v>3</v>
      </c>
      <c r="F20" s="26"/>
      <c r="G20" s="28"/>
      <c r="H20" s="26"/>
      <c r="I20" s="26"/>
      <c r="J20" s="26"/>
      <c r="K20" s="31"/>
      <c r="L20" s="31"/>
      <c r="M20" s="29">
        <v>3</v>
      </c>
      <c r="N20" s="29"/>
      <c r="O20" s="31"/>
      <c r="P20" s="31"/>
      <c r="Q20" s="29"/>
      <c r="R20" s="31"/>
      <c r="S20" s="30">
        <f t="shared" si="0"/>
        <v>770</v>
      </c>
    </row>
    <row r="21" spans="1:19" ht="27" thickBot="1">
      <c r="A21" s="26">
        <v>17</v>
      </c>
      <c r="B21" s="182" t="s">
        <v>739</v>
      </c>
      <c r="C21" s="26">
        <f>5*111</f>
        <v>555</v>
      </c>
      <c r="D21" s="26">
        <f>4*64</f>
        <v>256</v>
      </c>
      <c r="E21" s="26">
        <v>3</v>
      </c>
      <c r="F21" s="26"/>
      <c r="G21" s="28"/>
      <c r="H21" s="26"/>
      <c r="I21" s="26"/>
      <c r="J21" s="26"/>
      <c r="K21" s="31"/>
      <c r="L21" s="31"/>
      <c r="M21" s="29"/>
      <c r="N21" s="29"/>
      <c r="O21" s="31"/>
      <c r="P21" s="31"/>
      <c r="Q21" s="29"/>
      <c r="R21" s="31"/>
      <c r="S21" s="30">
        <f t="shared" si="0"/>
        <v>814</v>
      </c>
    </row>
    <row r="22" spans="1:19" ht="27" thickBot="1">
      <c r="A22" s="26">
        <v>18</v>
      </c>
      <c r="B22" s="182" t="s">
        <v>740</v>
      </c>
      <c r="C22" s="26">
        <f>5*103</f>
        <v>515</v>
      </c>
      <c r="D22" s="26">
        <f>4*50</f>
        <v>200</v>
      </c>
      <c r="E22" s="26">
        <f>3*2</f>
        <v>6</v>
      </c>
      <c r="F22" s="26"/>
      <c r="G22" s="28"/>
      <c r="H22" s="26"/>
      <c r="I22" s="26"/>
      <c r="J22" s="26"/>
      <c r="K22" s="31"/>
      <c r="L22" s="31"/>
      <c r="M22" s="29"/>
      <c r="N22" s="29"/>
      <c r="O22" s="31"/>
      <c r="P22" s="31"/>
      <c r="Q22" s="29"/>
      <c r="R22" s="31"/>
      <c r="S22" s="30">
        <f t="shared" si="0"/>
        <v>721</v>
      </c>
    </row>
    <row r="23" spans="1:19" ht="39.75" thickBot="1">
      <c r="A23" s="26">
        <v>19</v>
      </c>
      <c r="B23" s="182" t="s">
        <v>741</v>
      </c>
      <c r="C23" s="26">
        <f>5*106</f>
        <v>530</v>
      </c>
      <c r="D23" s="26">
        <f>4*56</f>
        <v>224</v>
      </c>
      <c r="E23" s="26">
        <v>6</v>
      </c>
      <c r="F23" s="26"/>
      <c r="G23" s="28"/>
      <c r="H23" s="26"/>
      <c r="I23" s="26"/>
      <c r="J23" s="26"/>
      <c r="K23" s="31"/>
      <c r="L23" s="31"/>
      <c r="M23" s="29"/>
      <c r="N23" s="29"/>
      <c r="O23" s="31"/>
      <c r="P23" s="31"/>
      <c r="Q23" s="29"/>
      <c r="R23" s="31"/>
      <c r="S23" s="30">
        <f t="shared" si="0"/>
        <v>760</v>
      </c>
    </row>
    <row r="24" spans="1:19" ht="39.75" thickBot="1">
      <c r="A24" s="26">
        <v>20</v>
      </c>
      <c r="B24" s="182" t="s">
        <v>742</v>
      </c>
      <c r="C24" s="26">
        <f>5*137</f>
        <v>685</v>
      </c>
      <c r="D24" s="26">
        <f>4*41</f>
        <v>164</v>
      </c>
      <c r="E24" s="26"/>
      <c r="F24" s="26"/>
      <c r="G24" s="28"/>
      <c r="H24" s="26"/>
      <c r="I24" s="26"/>
      <c r="J24" s="26"/>
      <c r="K24" s="31"/>
      <c r="L24" s="31"/>
      <c r="M24" s="29">
        <v>5</v>
      </c>
      <c r="N24" s="29">
        <v>5</v>
      </c>
      <c r="O24" s="31"/>
      <c r="P24" s="31"/>
      <c r="Q24" s="29"/>
      <c r="R24" s="31"/>
      <c r="S24" s="30">
        <f t="shared" si="0"/>
        <v>859</v>
      </c>
    </row>
    <row r="25" spans="1:19" ht="27" thickBot="1">
      <c r="A25" s="26">
        <v>21</v>
      </c>
      <c r="B25" s="182" t="s">
        <v>743</v>
      </c>
      <c r="C25" s="8">
        <f>5*134</f>
        <v>670</v>
      </c>
      <c r="D25" s="8">
        <f>4*36</f>
        <v>144</v>
      </c>
      <c r="E25" s="26"/>
      <c r="F25" s="26"/>
      <c r="G25" s="28"/>
      <c r="H25" s="26"/>
      <c r="I25" s="26"/>
      <c r="J25" s="26"/>
      <c r="K25" s="31"/>
      <c r="L25" s="31"/>
      <c r="M25" s="29"/>
      <c r="N25" s="29"/>
      <c r="O25" s="31"/>
      <c r="P25" s="31"/>
      <c r="Q25" s="29"/>
      <c r="R25" s="31"/>
      <c r="S25" s="30">
        <f t="shared" si="0"/>
        <v>814</v>
      </c>
    </row>
    <row r="26" spans="1:19" ht="27" thickBot="1">
      <c r="A26" s="26">
        <v>22</v>
      </c>
      <c r="B26" s="182" t="s">
        <v>744</v>
      </c>
      <c r="C26" s="8">
        <f>5*92</f>
        <v>460</v>
      </c>
      <c r="D26" s="8">
        <f>4*71</f>
        <v>284</v>
      </c>
      <c r="E26" s="26">
        <v>6</v>
      </c>
      <c r="F26" s="26"/>
      <c r="G26" s="28"/>
      <c r="H26" s="26"/>
      <c r="I26" s="26"/>
      <c r="J26" s="26"/>
      <c r="K26" s="31"/>
      <c r="L26" s="31"/>
      <c r="M26" s="29"/>
      <c r="N26" s="29"/>
      <c r="O26" s="31"/>
      <c r="P26" s="31"/>
      <c r="Q26" s="29"/>
      <c r="R26" s="31"/>
      <c r="S26" s="30">
        <f t="shared" si="0"/>
        <v>750</v>
      </c>
    </row>
    <row r="27" spans="1:19" ht="39.75" thickBot="1">
      <c r="A27" s="26">
        <v>23</v>
      </c>
      <c r="B27" s="182" t="s">
        <v>745</v>
      </c>
      <c r="C27" s="8">
        <f>5*113</f>
        <v>565</v>
      </c>
      <c r="D27" s="8">
        <f>4*48</f>
        <v>192</v>
      </c>
      <c r="E27" s="26">
        <f>3*4</f>
        <v>12</v>
      </c>
      <c r="F27" s="26">
        <v>-2</v>
      </c>
      <c r="G27" s="28"/>
      <c r="H27" s="26"/>
      <c r="I27" s="26"/>
      <c r="J27" s="26"/>
      <c r="K27" s="31"/>
      <c r="L27" s="31"/>
      <c r="M27" s="29"/>
      <c r="N27" s="29"/>
      <c r="O27" s="31"/>
      <c r="P27" s="31"/>
      <c r="Q27" s="29"/>
      <c r="R27" s="31"/>
      <c r="S27" s="30">
        <f t="shared" si="0"/>
        <v>767</v>
      </c>
    </row>
    <row r="28" spans="1:19" ht="26.25">
      <c r="A28" s="183">
        <v>24</v>
      </c>
      <c r="B28" s="184" t="s">
        <v>746</v>
      </c>
      <c r="C28" s="8">
        <f>5*129</f>
        <v>645</v>
      </c>
      <c r="D28" s="8">
        <f>4*44</f>
        <v>176</v>
      </c>
      <c r="E28" s="26">
        <v>3</v>
      </c>
      <c r="F28" s="26"/>
      <c r="G28" s="28"/>
      <c r="H28" s="26"/>
      <c r="I28" s="26"/>
      <c r="J28" s="26"/>
      <c r="K28" s="31"/>
      <c r="L28" s="31"/>
      <c r="M28" s="29"/>
      <c r="N28" s="29"/>
      <c r="O28" s="31"/>
      <c r="P28" s="31"/>
      <c r="Q28" s="29"/>
      <c r="R28" s="31"/>
      <c r="S28" s="30">
        <f t="shared" si="0"/>
        <v>824</v>
      </c>
    </row>
    <row r="29" spans="1:19" ht="15">
      <c r="A29" s="21"/>
      <c r="B29" s="21"/>
      <c r="C29" s="149"/>
      <c r="D29" s="149"/>
      <c r="E29" s="21"/>
      <c r="F29" s="21"/>
      <c r="G29" s="185"/>
      <c r="H29" s="21"/>
      <c r="I29" s="21"/>
      <c r="J29" s="21"/>
      <c r="K29" s="186"/>
      <c r="L29" s="186"/>
      <c r="M29" s="187"/>
      <c r="N29" s="187"/>
      <c r="O29" s="186"/>
      <c r="P29" s="186"/>
      <c r="Q29" s="187"/>
      <c r="R29" s="186"/>
      <c r="S29" s="188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S24"/>
    </sheetView>
  </sheetViews>
  <sheetFormatPr defaultColWidth="9.140625" defaultRowHeight="15"/>
  <sheetData>
    <row r="1" spans="1:19" ht="15">
      <c r="A1" s="321" t="s">
        <v>747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SUM(S5:S23)</f>
        <v>13884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60" t="s">
        <v>748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38" t="s">
        <v>3</v>
      </c>
    </row>
    <row r="4" spans="1:19" ht="15">
      <c r="A4" s="305"/>
      <c r="B4" s="305"/>
      <c r="C4" s="307"/>
      <c r="D4" s="307"/>
      <c r="E4" s="307"/>
      <c r="F4" s="307"/>
      <c r="G4" s="361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38"/>
    </row>
    <row r="5" spans="1:19" ht="22.5">
      <c r="A5" s="26">
        <v>1</v>
      </c>
      <c r="B5" s="105" t="s">
        <v>749</v>
      </c>
      <c r="C5" s="26">
        <f>126*5</f>
        <v>630</v>
      </c>
      <c r="D5" s="26">
        <f>30*4</f>
        <v>120</v>
      </c>
      <c r="E5" s="26">
        <f>2*3</f>
        <v>6</v>
      </c>
      <c r="F5" s="26">
        <f>1*2</f>
        <v>2</v>
      </c>
      <c r="G5" s="189">
        <f>C5+D5+E5-F5</f>
        <v>754</v>
      </c>
      <c r="H5" s="26">
        <v>0</v>
      </c>
      <c r="I5" s="26">
        <v>0</v>
      </c>
      <c r="J5" s="26">
        <v>0</v>
      </c>
      <c r="K5" s="29">
        <v>0</v>
      </c>
      <c r="L5" s="29">
        <v>0</v>
      </c>
      <c r="M5" s="29">
        <v>0</v>
      </c>
      <c r="N5" s="31">
        <v>0</v>
      </c>
      <c r="O5" s="29">
        <v>5</v>
      </c>
      <c r="P5" s="29">
        <v>0</v>
      </c>
      <c r="Q5" s="29">
        <v>5</v>
      </c>
      <c r="R5" s="29">
        <v>5</v>
      </c>
      <c r="S5" s="31">
        <f>SUM(G5:R5)</f>
        <v>769</v>
      </c>
    </row>
    <row r="6" spans="1:19" ht="22.5">
      <c r="A6" s="26">
        <v>2</v>
      </c>
      <c r="B6" s="105" t="s">
        <v>750</v>
      </c>
      <c r="C6" s="26">
        <f>95*5</f>
        <v>475</v>
      </c>
      <c r="D6" s="26">
        <f>57*4</f>
        <v>228</v>
      </c>
      <c r="E6" s="26">
        <f>7*3</f>
        <v>21</v>
      </c>
      <c r="F6" s="26">
        <v>0</v>
      </c>
      <c r="G6" s="189">
        <f>C6+D6+E6-F6</f>
        <v>724</v>
      </c>
      <c r="H6" s="26">
        <v>0</v>
      </c>
      <c r="I6" s="26">
        <v>0</v>
      </c>
      <c r="J6" s="26">
        <v>0</v>
      </c>
      <c r="K6" s="29">
        <v>0</v>
      </c>
      <c r="L6" s="29">
        <v>0</v>
      </c>
      <c r="M6" s="29">
        <v>0</v>
      </c>
      <c r="N6" s="31">
        <v>0</v>
      </c>
      <c r="O6" s="29">
        <v>5</v>
      </c>
      <c r="P6" s="29">
        <v>0</v>
      </c>
      <c r="Q6" s="29">
        <v>5</v>
      </c>
      <c r="R6" s="29">
        <v>5</v>
      </c>
      <c r="S6" s="31">
        <f aca="true" t="shared" si="0" ref="S6:S23">SUM(G6:R6)</f>
        <v>739</v>
      </c>
    </row>
    <row r="7" spans="1:19" ht="22.5">
      <c r="A7" s="26">
        <v>3</v>
      </c>
      <c r="B7" s="105" t="s">
        <v>751</v>
      </c>
      <c r="C7" s="26">
        <f>125*5</f>
        <v>625</v>
      </c>
      <c r="D7" s="26">
        <f>31*4</f>
        <v>124</v>
      </c>
      <c r="E7" s="26">
        <v>0</v>
      </c>
      <c r="F7" s="26">
        <v>0</v>
      </c>
      <c r="G7" s="189">
        <f aca="true" t="shared" si="1" ref="G7:G23">C7+D7+E7-F7</f>
        <v>749</v>
      </c>
      <c r="H7" s="26">
        <v>-16</v>
      </c>
      <c r="I7" s="26">
        <v>0</v>
      </c>
      <c r="J7" s="26">
        <v>0</v>
      </c>
      <c r="K7" s="29">
        <v>0</v>
      </c>
      <c r="L7" s="29">
        <v>0</v>
      </c>
      <c r="M7" s="29">
        <v>0</v>
      </c>
      <c r="N7" s="31">
        <v>0</v>
      </c>
      <c r="O7" s="29">
        <v>5</v>
      </c>
      <c r="P7" s="29">
        <v>0</v>
      </c>
      <c r="Q7" s="29">
        <v>5</v>
      </c>
      <c r="R7" s="29">
        <v>5</v>
      </c>
      <c r="S7" s="31">
        <f t="shared" si="0"/>
        <v>748</v>
      </c>
    </row>
    <row r="8" spans="1:19" ht="22.5">
      <c r="A8" s="26">
        <v>4</v>
      </c>
      <c r="B8" s="105" t="s">
        <v>752</v>
      </c>
      <c r="C8" s="26">
        <f>108*5</f>
        <v>540</v>
      </c>
      <c r="D8" s="26">
        <f>49*4</f>
        <v>196</v>
      </c>
      <c r="E8" s="26">
        <f>4*3</f>
        <v>12</v>
      </c>
      <c r="F8" s="26">
        <f>0</f>
        <v>0</v>
      </c>
      <c r="G8" s="189">
        <f t="shared" si="1"/>
        <v>748</v>
      </c>
      <c r="H8" s="26">
        <v>0</v>
      </c>
      <c r="I8" s="26">
        <v>0</v>
      </c>
      <c r="J8" s="26">
        <v>0</v>
      </c>
      <c r="K8" s="29">
        <v>0</v>
      </c>
      <c r="L8" s="29">
        <v>0</v>
      </c>
      <c r="M8" s="29">
        <v>0</v>
      </c>
      <c r="N8" s="31">
        <v>0</v>
      </c>
      <c r="O8" s="29">
        <v>5</v>
      </c>
      <c r="P8" s="29">
        <v>0</v>
      </c>
      <c r="Q8" s="29">
        <v>5</v>
      </c>
      <c r="R8" s="29">
        <v>5</v>
      </c>
      <c r="S8" s="31">
        <f t="shared" si="0"/>
        <v>763</v>
      </c>
    </row>
    <row r="9" spans="1:19" ht="22.5">
      <c r="A9" s="26">
        <v>5</v>
      </c>
      <c r="B9" s="105" t="s">
        <v>753</v>
      </c>
      <c r="C9" s="26">
        <f>34*5</f>
        <v>170</v>
      </c>
      <c r="D9" s="26">
        <f>116*4</f>
        <v>464</v>
      </c>
      <c r="E9" s="26">
        <f>15*3</f>
        <v>45</v>
      </c>
      <c r="F9" s="26">
        <f>0</f>
        <v>0</v>
      </c>
      <c r="G9" s="189">
        <f t="shared" si="1"/>
        <v>679</v>
      </c>
      <c r="H9" s="26">
        <v>0</v>
      </c>
      <c r="I9" s="26">
        <v>0</v>
      </c>
      <c r="J9" s="26">
        <v>0</v>
      </c>
      <c r="K9" s="29">
        <v>0</v>
      </c>
      <c r="L9" s="29">
        <v>0</v>
      </c>
      <c r="M9" s="29">
        <f>0</f>
        <v>0</v>
      </c>
      <c r="N9" s="31">
        <v>0</v>
      </c>
      <c r="O9" s="29">
        <v>5</v>
      </c>
      <c r="P9" s="29">
        <v>0</v>
      </c>
      <c r="Q9" s="29">
        <v>0</v>
      </c>
      <c r="R9" s="29">
        <v>0</v>
      </c>
      <c r="S9" s="31">
        <f t="shared" si="0"/>
        <v>684</v>
      </c>
    </row>
    <row r="10" spans="1:19" ht="22.5">
      <c r="A10" s="26">
        <v>6</v>
      </c>
      <c r="B10" s="105" t="s">
        <v>754</v>
      </c>
      <c r="C10" s="26">
        <f>30*5</f>
        <v>150</v>
      </c>
      <c r="D10" s="26">
        <f>128*4</f>
        <v>512</v>
      </c>
      <c r="E10" s="26">
        <f>6*3</f>
        <v>18</v>
      </c>
      <c r="F10" s="26">
        <v>0</v>
      </c>
      <c r="G10" s="189">
        <f t="shared" si="1"/>
        <v>680</v>
      </c>
      <c r="H10" s="26">
        <v>-8</v>
      </c>
      <c r="I10" s="26">
        <v>0</v>
      </c>
      <c r="J10" s="26">
        <v>0</v>
      </c>
      <c r="K10" s="29">
        <v>0</v>
      </c>
      <c r="L10" s="29">
        <v>0</v>
      </c>
      <c r="M10" s="29">
        <v>0</v>
      </c>
      <c r="N10" s="31">
        <v>0</v>
      </c>
      <c r="O10" s="29">
        <v>5</v>
      </c>
      <c r="P10" s="29">
        <v>0</v>
      </c>
      <c r="Q10" s="29">
        <v>5</v>
      </c>
      <c r="R10" s="29">
        <v>5</v>
      </c>
      <c r="S10" s="31">
        <f t="shared" si="0"/>
        <v>687</v>
      </c>
    </row>
    <row r="11" spans="1:19" ht="22.5">
      <c r="A11" s="26">
        <v>7</v>
      </c>
      <c r="B11" s="105" t="s">
        <v>755</v>
      </c>
      <c r="C11" s="26">
        <f>103*5</f>
        <v>515</v>
      </c>
      <c r="D11" s="26">
        <f>52*4</f>
        <v>208</v>
      </c>
      <c r="E11" s="26">
        <f>2*3</f>
        <v>6</v>
      </c>
      <c r="F11" s="26">
        <f>0*2</f>
        <v>0</v>
      </c>
      <c r="G11" s="189">
        <f t="shared" si="1"/>
        <v>729</v>
      </c>
      <c r="H11" s="26">
        <v>-16</v>
      </c>
      <c r="I11" s="26">
        <v>0</v>
      </c>
      <c r="J11" s="26">
        <v>0</v>
      </c>
      <c r="K11" s="29">
        <v>0</v>
      </c>
      <c r="L11" s="29">
        <v>0</v>
      </c>
      <c r="M11" s="29">
        <v>0</v>
      </c>
      <c r="N11" s="31">
        <v>0</v>
      </c>
      <c r="O11" s="29">
        <v>5</v>
      </c>
      <c r="P11" s="29">
        <v>0</v>
      </c>
      <c r="Q11" s="29">
        <v>5</v>
      </c>
      <c r="R11" s="29">
        <v>5</v>
      </c>
      <c r="S11" s="31">
        <f t="shared" si="0"/>
        <v>728</v>
      </c>
    </row>
    <row r="12" spans="1:19" ht="22.5">
      <c r="A12" s="26">
        <v>8</v>
      </c>
      <c r="B12" s="105" t="s">
        <v>756</v>
      </c>
      <c r="C12" s="26">
        <f>48*5</f>
        <v>240</v>
      </c>
      <c r="D12" s="26">
        <f>103*4</f>
        <v>412</v>
      </c>
      <c r="E12" s="26">
        <f>5*3</f>
        <v>15</v>
      </c>
      <c r="F12" s="26">
        <v>0</v>
      </c>
      <c r="G12" s="189">
        <f t="shared" si="1"/>
        <v>667</v>
      </c>
      <c r="H12" s="26">
        <v>-10</v>
      </c>
      <c r="I12" s="26">
        <v>0</v>
      </c>
      <c r="J12" s="26">
        <v>0</v>
      </c>
      <c r="K12" s="29">
        <v>0</v>
      </c>
      <c r="L12" s="29">
        <v>0</v>
      </c>
      <c r="M12" s="29">
        <v>0</v>
      </c>
      <c r="N12" s="31">
        <v>0</v>
      </c>
      <c r="O12" s="29">
        <v>5</v>
      </c>
      <c r="P12" s="29">
        <v>0</v>
      </c>
      <c r="Q12" s="29">
        <v>5</v>
      </c>
      <c r="R12" s="29">
        <v>0</v>
      </c>
      <c r="S12" s="31">
        <f t="shared" si="0"/>
        <v>667</v>
      </c>
    </row>
    <row r="13" spans="1:19" ht="22.5">
      <c r="A13" s="26">
        <v>9</v>
      </c>
      <c r="B13" s="105" t="s">
        <v>757</v>
      </c>
      <c r="C13" s="26">
        <f>125*5</f>
        <v>625</v>
      </c>
      <c r="D13" s="26">
        <f>34*4</f>
        <v>136</v>
      </c>
      <c r="E13" s="26">
        <f>1*3</f>
        <v>3</v>
      </c>
      <c r="F13" s="26">
        <f>0</f>
        <v>0</v>
      </c>
      <c r="G13" s="189">
        <f t="shared" si="1"/>
        <v>764</v>
      </c>
      <c r="H13" s="26">
        <v>-8</v>
      </c>
      <c r="I13" s="26">
        <v>0</v>
      </c>
      <c r="J13" s="26">
        <v>0</v>
      </c>
      <c r="K13" s="29">
        <v>0</v>
      </c>
      <c r="L13" s="29">
        <v>0</v>
      </c>
      <c r="M13" s="29">
        <v>0</v>
      </c>
      <c r="N13" s="31">
        <v>5</v>
      </c>
      <c r="O13" s="29">
        <v>5</v>
      </c>
      <c r="P13" s="29">
        <v>5</v>
      </c>
      <c r="Q13" s="29">
        <v>0</v>
      </c>
      <c r="R13" s="29">
        <v>5</v>
      </c>
      <c r="S13" s="31">
        <f t="shared" si="0"/>
        <v>776</v>
      </c>
    </row>
    <row r="14" spans="1:19" ht="22.5">
      <c r="A14" s="26">
        <v>10</v>
      </c>
      <c r="B14" s="105" t="s">
        <v>758</v>
      </c>
      <c r="C14" s="26">
        <f>125*5</f>
        <v>625</v>
      </c>
      <c r="D14" s="26">
        <f>29*4</f>
        <v>116</v>
      </c>
      <c r="E14" s="26">
        <f>1*3</f>
        <v>3</v>
      </c>
      <c r="F14" s="26">
        <v>0</v>
      </c>
      <c r="G14" s="189">
        <f t="shared" si="1"/>
        <v>744</v>
      </c>
      <c r="H14" s="26">
        <v>0</v>
      </c>
      <c r="I14" s="26">
        <v>0</v>
      </c>
      <c r="J14" s="26">
        <v>0</v>
      </c>
      <c r="K14" s="29">
        <v>0</v>
      </c>
      <c r="L14" s="29">
        <v>0</v>
      </c>
      <c r="M14" s="29">
        <v>0</v>
      </c>
      <c r="N14" s="31">
        <v>0</v>
      </c>
      <c r="O14" s="29">
        <v>5</v>
      </c>
      <c r="P14" s="29">
        <v>0</v>
      </c>
      <c r="Q14" s="29">
        <v>5</v>
      </c>
      <c r="R14" s="29">
        <v>5</v>
      </c>
      <c r="S14" s="31">
        <f t="shared" si="0"/>
        <v>759</v>
      </c>
    </row>
    <row r="15" spans="1:19" ht="33.75">
      <c r="A15" s="26">
        <v>11</v>
      </c>
      <c r="B15" s="105" t="s">
        <v>759</v>
      </c>
      <c r="C15" s="26">
        <f>56*5</f>
        <v>280</v>
      </c>
      <c r="D15" s="26">
        <f>94*4</f>
        <v>376</v>
      </c>
      <c r="E15" s="26">
        <f>6*3</f>
        <v>18</v>
      </c>
      <c r="F15" s="26">
        <f>0</f>
        <v>0</v>
      </c>
      <c r="G15" s="189">
        <f t="shared" si="1"/>
        <v>674</v>
      </c>
      <c r="H15" s="26">
        <v>0</v>
      </c>
      <c r="I15" s="26">
        <v>0</v>
      </c>
      <c r="J15" s="26">
        <v>0</v>
      </c>
      <c r="K15" s="29">
        <v>0</v>
      </c>
      <c r="L15" s="29">
        <v>0</v>
      </c>
      <c r="M15" s="29">
        <v>0</v>
      </c>
      <c r="N15" s="31">
        <v>0</v>
      </c>
      <c r="O15" s="29">
        <v>5</v>
      </c>
      <c r="P15" s="29">
        <v>0</v>
      </c>
      <c r="Q15" s="29">
        <v>5</v>
      </c>
      <c r="R15" s="29">
        <v>5</v>
      </c>
      <c r="S15" s="31">
        <f t="shared" si="0"/>
        <v>689</v>
      </c>
    </row>
    <row r="16" spans="1:19" ht="22.5">
      <c r="A16" s="26">
        <v>12</v>
      </c>
      <c r="B16" s="190" t="s">
        <v>760</v>
      </c>
      <c r="C16" s="26">
        <f>82*5</f>
        <v>410</v>
      </c>
      <c r="D16" s="26">
        <f>93*4</f>
        <v>372</v>
      </c>
      <c r="E16" s="26">
        <f>3*3</f>
        <v>9</v>
      </c>
      <c r="F16" s="26">
        <f>0*2</f>
        <v>0</v>
      </c>
      <c r="G16" s="189">
        <f t="shared" si="1"/>
        <v>791</v>
      </c>
      <c r="H16" s="26">
        <v>0</v>
      </c>
      <c r="I16" s="26">
        <v>0</v>
      </c>
      <c r="J16" s="26">
        <v>0</v>
      </c>
      <c r="K16" s="29">
        <v>0</v>
      </c>
      <c r="L16" s="29">
        <v>0</v>
      </c>
      <c r="M16" s="29">
        <v>0</v>
      </c>
      <c r="N16" s="31">
        <v>0</v>
      </c>
      <c r="O16" s="29">
        <v>5</v>
      </c>
      <c r="P16" s="29">
        <v>0</v>
      </c>
      <c r="Q16" s="29">
        <v>5</v>
      </c>
      <c r="R16" s="29">
        <v>5</v>
      </c>
      <c r="S16" s="31">
        <v>806</v>
      </c>
    </row>
    <row r="17" spans="1:19" ht="22.5">
      <c r="A17" s="26">
        <v>13</v>
      </c>
      <c r="B17" s="105" t="s">
        <v>761</v>
      </c>
      <c r="C17" s="26">
        <f>69*5</f>
        <v>345</v>
      </c>
      <c r="D17" s="26">
        <f>97*4</f>
        <v>388</v>
      </c>
      <c r="E17" s="26">
        <f>13*3</f>
        <v>39</v>
      </c>
      <c r="F17" s="26">
        <v>0</v>
      </c>
      <c r="G17" s="189">
        <f t="shared" si="1"/>
        <v>772</v>
      </c>
      <c r="H17" s="26">
        <v>-20</v>
      </c>
      <c r="I17" s="26">
        <v>0</v>
      </c>
      <c r="J17" s="26">
        <v>0</v>
      </c>
      <c r="K17" s="29">
        <v>0</v>
      </c>
      <c r="L17" s="29">
        <v>0</v>
      </c>
      <c r="M17" s="29">
        <v>0</v>
      </c>
      <c r="N17" s="31">
        <v>0</v>
      </c>
      <c r="O17" s="29">
        <v>5</v>
      </c>
      <c r="P17" s="29">
        <v>0</v>
      </c>
      <c r="Q17" s="29">
        <v>5</v>
      </c>
      <c r="R17" s="29">
        <v>5</v>
      </c>
      <c r="S17" s="31">
        <f t="shared" si="0"/>
        <v>767</v>
      </c>
    </row>
    <row r="18" spans="1:19" ht="22.5">
      <c r="A18" s="26">
        <v>14</v>
      </c>
      <c r="B18" s="105" t="s">
        <v>762</v>
      </c>
      <c r="C18" s="26">
        <f>53*5</f>
        <v>265</v>
      </c>
      <c r="D18" s="26">
        <f>94*4</f>
        <v>376</v>
      </c>
      <c r="E18" s="26">
        <f>6*3</f>
        <v>18</v>
      </c>
      <c r="F18" s="26">
        <f>0</f>
        <v>0</v>
      </c>
      <c r="G18" s="189">
        <f t="shared" si="1"/>
        <v>659</v>
      </c>
      <c r="H18" s="26">
        <v>0</v>
      </c>
      <c r="I18" s="26">
        <v>0</v>
      </c>
      <c r="J18" s="26">
        <v>0</v>
      </c>
      <c r="K18" s="29">
        <v>0</v>
      </c>
      <c r="L18" s="29">
        <v>0</v>
      </c>
      <c r="M18" s="29">
        <v>0</v>
      </c>
      <c r="N18" s="31">
        <v>0</v>
      </c>
      <c r="O18" s="29">
        <v>5</v>
      </c>
      <c r="P18" s="29">
        <v>0</v>
      </c>
      <c r="Q18" s="29">
        <v>5</v>
      </c>
      <c r="R18" s="29">
        <v>5</v>
      </c>
      <c r="S18" s="31">
        <f t="shared" si="0"/>
        <v>674</v>
      </c>
    </row>
    <row r="19" spans="1:19" ht="22.5">
      <c r="A19" s="26">
        <v>15</v>
      </c>
      <c r="B19" s="105" t="s">
        <v>763</v>
      </c>
      <c r="C19" s="26">
        <f>146*5</f>
        <v>730</v>
      </c>
      <c r="D19" s="26">
        <f>11*4</f>
        <v>44</v>
      </c>
      <c r="E19" s="26">
        <f>0*3</f>
        <v>0</v>
      </c>
      <c r="F19" s="26">
        <v>0</v>
      </c>
      <c r="G19" s="189">
        <f t="shared" si="1"/>
        <v>774</v>
      </c>
      <c r="H19" s="26">
        <v>0</v>
      </c>
      <c r="I19" s="26">
        <v>0</v>
      </c>
      <c r="J19" s="26">
        <v>0</v>
      </c>
      <c r="K19" s="29">
        <v>0</v>
      </c>
      <c r="L19" s="29">
        <v>0</v>
      </c>
      <c r="M19" s="29">
        <v>0</v>
      </c>
      <c r="N19" s="31">
        <v>0</v>
      </c>
      <c r="O19" s="29">
        <v>5</v>
      </c>
      <c r="P19" s="29">
        <v>0</v>
      </c>
      <c r="Q19" s="29">
        <v>5</v>
      </c>
      <c r="R19" s="29">
        <v>5</v>
      </c>
      <c r="S19" s="31">
        <f t="shared" si="0"/>
        <v>789</v>
      </c>
    </row>
    <row r="20" spans="1:19" ht="22.5">
      <c r="A20" s="26">
        <v>16</v>
      </c>
      <c r="B20" s="105" t="s">
        <v>764</v>
      </c>
      <c r="C20" s="26">
        <f>27*5</f>
        <v>135</v>
      </c>
      <c r="D20" s="26">
        <f>104*4</f>
        <v>416</v>
      </c>
      <c r="E20" s="26">
        <f>7*3</f>
        <v>21</v>
      </c>
      <c r="F20" s="26">
        <f>0*2</f>
        <v>0</v>
      </c>
      <c r="G20" s="189">
        <f t="shared" si="1"/>
        <v>572</v>
      </c>
      <c r="H20" s="26">
        <v>-20</v>
      </c>
      <c r="I20" s="26">
        <v>0</v>
      </c>
      <c r="J20" s="26">
        <v>0</v>
      </c>
      <c r="K20" s="29">
        <v>0</v>
      </c>
      <c r="L20" s="29">
        <v>0</v>
      </c>
      <c r="M20" s="29">
        <v>0</v>
      </c>
      <c r="N20" s="31">
        <v>0</v>
      </c>
      <c r="O20" s="29">
        <v>5</v>
      </c>
      <c r="P20" s="29">
        <v>0</v>
      </c>
      <c r="Q20" s="29">
        <v>5</v>
      </c>
      <c r="R20" s="29">
        <v>0</v>
      </c>
      <c r="S20" s="31">
        <f t="shared" si="0"/>
        <v>562</v>
      </c>
    </row>
    <row r="21" spans="1:19" ht="22.5">
      <c r="A21" s="26">
        <v>17</v>
      </c>
      <c r="B21" s="105" t="s">
        <v>765</v>
      </c>
      <c r="C21" s="26">
        <f>126*5</f>
        <v>630</v>
      </c>
      <c r="D21" s="26">
        <f>29*4</f>
        <v>116</v>
      </c>
      <c r="E21" s="26">
        <f>1*3</f>
        <v>3</v>
      </c>
      <c r="F21" s="26">
        <v>0</v>
      </c>
      <c r="G21" s="189">
        <f t="shared" si="1"/>
        <v>749</v>
      </c>
      <c r="H21" s="26">
        <v>0</v>
      </c>
      <c r="I21" s="26">
        <v>0</v>
      </c>
      <c r="J21" s="26">
        <v>0</v>
      </c>
      <c r="K21" s="29">
        <v>0</v>
      </c>
      <c r="L21" s="29">
        <v>0</v>
      </c>
      <c r="M21" s="29">
        <v>0</v>
      </c>
      <c r="N21" s="31">
        <v>0</v>
      </c>
      <c r="O21" s="29">
        <v>5</v>
      </c>
      <c r="P21" s="29">
        <v>0</v>
      </c>
      <c r="Q21" s="29">
        <v>5</v>
      </c>
      <c r="R21" s="29">
        <v>5</v>
      </c>
      <c r="S21" s="31">
        <f t="shared" si="0"/>
        <v>764</v>
      </c>
    </row>
    <row r="22" spans="1:19" ht="22.5">
      <c r="A22" s="26">
        <v>18</v>
      </c>
      <c r="B22" s="105" t="s">
        <v>766</v>
      </c>
      <c r="C22" s="26">
        <f>107*5</f>
        <v>535</v>
      </c>
      <c r="D22" s="26">
        <f>50*4</f>
        <v>200</v>
      </c>
      <c r="E22" s="26">
        <f>2*3</f>
        <v>6</v>
      </c>
      <c r="F22" s="26">
        <v>0</v>
      </c>
      <c r="G22" s="189">
        <f t="shared" si="1"/>
        <v>741</v>
      </c>
      <c r="H22" s="26">
        <v>-8</v>
      </c>
      <c r="I22" s="26">
        <v>0</v>
      </c>
      <c r="J22" s="26">
        <v>0</v>
      </c>
      <c r="K22" s="29">
        <v>0</v>
      </c>
      <c r="L22" s="29">
        <v>0</v>
      </c>
      <c r="M22" s="29">
        <v>0</v>
      </c>
      <c r="N22" s="31">
        <v>0</v>
      </c>
      <c r="O22" s="29">
        <v>5</v>
      </c>
      <c r="P22" s="29">
        <v>0</v>
      </c>
      <c r="Q22" s="29">
        <v>5</v>
      </c>
      <c r="R22" s="29">
        <v>5</v>
      </c>
      <c r="S22" s="31">
        <f t="shared" si="0"/>
        <v>748</v>
      </c>
    </row>
    <row r="23" spans="1:19" ht="22.5">
      <c r="A23" s="26">
        <v>19</v>
      </c>
      <c r="B23" s="105" t="s">
        <v>767</v>
      </c>
      <c r="C23" s="26">
        <f>127*5</f>
        <v>635</v>
      </c>
      <c r="D23" s="26">
        <f>30*4</f>
        <v>120</v>
      </c>
      <c r="E23" s="26">
        <f>1*3</f>
        <v>3</v>
      </c>
      <c r="F23" s="26">
        <v>0</v>
      </c>
      <c r="G23" s="189">
        <f t="shared" si="1"/>
        <v>758</v>
      </c>
      <c r="H23" s="26">
        <v>-8</v>
      </c>
      <c r="I23" s="26">
        <v>0</v>
      </c>
      <c r="J23" s="26">
        <v>0</v>
      </c>
      <c r="K23" s="29">
        <v>0</v>
      </c>
      <c r="L23" s="29">
        <v>0</v>
      </c>
      <c r="M23" s="29">
        <v>0</v>
      </c>
      <c r="N23" s="31">
        <v>0</v>
      </c>
      <c r="O23" s="29">
        <v>5</v>
      </c>
      <c r="P23" s="29">
        <v>0</v>
      </c>
      <c r="Q23" s="29">
        <v>5</v>
      </c>
      <c r="R23" s="29">
        <v>5</v>
      </c>
      <c r="S23" s="31">
        <f t="shared" si="0"/>
        <v>765</v>
      </c>
    </row>
    <row r="24" ht="33.75">
      <c r="B24" s="107" t="s">
        <v>768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R31"/>
    </sheetView>
  </sheetViews>
  <sheetFormatPr defaultColWidth="8.8515625" defaultRowHeight="15"/>
  <sheetData>
    <row r="1" spans="1:18" ht="15">
      <c r="A1" s="311" t="s">
        <v>72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5">
      <c r="A2" s="35"/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7" t="s">
        <v>0</v>
      </c>
      <c r="P2" s="37"/>
      <c r="Q2" s="37"/>
      <c r="R2" s="37">
        <f>SUM(R5:R31)</f>
        <v>20977</v>
      </c>
    </row>
    <row r="3" spans="1:18" ht="15">
      <c r="A3" s="313" t="s">
        <v>1</v>
      </c>
      <c r="B3" s="313" t="s">
        <v>2</v>
      </c>
      <c r="C3" s="314" t="s">
        <v>7</v>
      </c>
      <c r="D3" s="314" t="s">
        <v>8</v>
      </c>
      <c r="E3" s="314" t="s">
        <v>9</v>
      </c>
      <c r="F3" s="314" t="s">
        <v>10</v>
      </c>
      <c r="G3" s="314" t="s">
        <v>11</v>
      </c>
      <c r="H3" s="314" t="s">
        <v>4</v>
      </c>
      <c r="I3" s="314" t="s">
        <v>12</v>
      </c>
      <c r="J3" s="314" t="s">
        <v>13</v>
      </c>
      <c r="K3" s="314" t="s">
        <v>14</v>
      </c>
      <c r="L3" s="314" t="s">
        <v>15</v>
      </c>
      <c r="M3" s="314" t="s">
        <v>16</v>
      </c>
      <c r="N3" s="319" t="s">
        <v>17</v>
      </c>
      <c r="O3" s="314" t="s">
        <v>5</v>
      </c>
      <c r="P3" s="316" t="s">
        <v>18</v>
      </c>
      <c r="Q3" s="314" t="s">
        <v>6</v>
      </c>
      <c r="R3" s="318" t="s">
        <v>3</v>
      </c>
    </row>
    <row r="4" spans="1:18" ht="15">
      <c r="A4" s="313"/>
      <c r="B4" s="313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20"/>
      <c r="O4" s="315"/>
      <c r="P4" s="317"/>
      <c r="Q4" s="315"/>
      <c r="R4" s="318"/>
    </row>
    <row r="5" spans="1:18" ht="38.25">
      <c r="A5" s="38">
        <v>1</v>
      </c>
      <c r="B5" s="39" t="s">
        <v>73</v>
      </c>
      <c r="C5" s="40">
        <v>300</v>
      </c>
      <c r="D5" s="40">
        <v>368</v>
      </c>
      <c r="E5" s="40">
        <v>12</v>
      </c>
      <c r="F5" s="40">
        <v>0</v>
      </c>
      <c r="G5" s="38">
        <v>0</v>
      </c>
      <c r="H5" s="38">
        <v>0</v>
      </c>
      <c r="I5" s="38">
        <v>0</v>
      </c>
      <c r="J5" s="41">
        <v>0</v>
      </c>
      <c r="K5" s="41">
        <v>0</v>
      </c>
      <c r="L5" s="41">
        <v>0</v>
      </c>
      <c r="M5" s="42">
        <v>0</v>
      </c>
      <c r="N5" s="41">
        <v>5</v>
      </c>
      <c r="O5" s="41">
        <v>0</v>
      </c>
      <c r="P5" s="41">
        <v>0</v>
      </c>
      <c r="Q5" s="41">
        <v>0</v>
      </c>
      <c r="R5" s="42">
        <f aca="true" t="shared" si="0" ref="R5:R31">SUM(C5:Q5)</f>
        <v>685</v>
      </c>
    </row>
    <row r="6" spans="1:18" ht="63.75">
      <c r="A6" s="38">
        <v>2</v>
      </c>
      <c r="B6" s="39" t="s">
        <v>74</v>
      </c>
      <c r="C6" s="40">
        <v>515</v>
      </c>
      <c r="D6" s="40">
        <v>264</v>
      </c>
      <c r="E6" s="40">
        <v>6</v>
      </c>
      <c r="F6" s="40">
        <v>0</v>
      </c>
      <c r="G6" s="38">
        <v>0</v>
      </c>
      <c r="H6" s="38">
        <v>0</v>
      </c>
      <c r="I6" s="38">
        <v>0</v>
      </c>
      <c r="J6" s="42">
        <v>0</v>
      </c>
      <c r="K6" s="42">
        <v>0</v>
      </c>
      <c r="L6" s="42">
        <v>0</v>
      </c>
      <c r="M6" s="42">
        <v>3</v>
      </c>
      <c r="N6" s="42">
        <v>5</v>
      </c>
      <c r="O6" s="42">
        <v>0</v>
      </c>
      <c r="P6" s="42">
        <v>0</v>
      </c>
      <c r="Q6" s="42">
        <v>0</v>
      </c>
      <c r="R6" s="42">
        <f t="shared" si="0"/>
        <v>793</v>
      </c>
    </row>
    <row r="7" spans="1:18" ht="38.25">
      <c r="A7" s="38">
        <v>3</v>
      </c>
      <c r="B7" s="39" t="s">
        <v>75</v>
      </c>
      <c r="C7" s="40">
        <v>725</v>
      </c>
      <c r="D7" s="40">
        <v>104</v>
      </c>
      <c r="E7" s="40">
        <v>3</v>
      </c>
      <c r="F7" s="40">
        <v>0</v>
      </c>
      <c r="G7" s="38">
        <v>0</v>
      </c>
      <c r="H7" s="38">
        <v>0</v>
      </c>
      <c r="I7" s="38">
        <v>0</v>
      </c>
      <c r="J7" s="42">
        <v>0</v>
      </c>
      <c r="K7" s="42">
        <v>0</v>
      </c>
      <c r="L7" s="42">
        <v>5</v>
      </c>
      <c r="M7" s="42">
        <v>0</v>
      </c>
      <c r="N7" s="42">
        <v>5</v>
      </c>
      <c r="O7" s="42">
        <v>0</v>
      </c>
      <c r="P7" s="42">
        <v>0</v>
      </c>
      <c r="Q7" s="42">
        <v>0</v>
      </c>
      <c r="R7" s="42">
        <f t="shared" si="0"/>
        <v>842</v>
      </c>
    </row>
    <row r="8" spans="1:18" ht="63.75">
      <c r="A8" s="38">
        <v>4</v>
      </c>
      <c r="B8" s="39" t="s">
        <v>76</v>
      </c>
      <c r="C8" s="40">
        <v>500</v>
      </c>
      <c r="D8" s="40">
        <v>224</v>
      </c>
      <c r="E8" s="40">
        <v>9</v>
      </c>
      <c r="F8" s="40">
        <v>0</v>
      </c>
      <c r="G8" s="38">
        <v>-20</v>
      </c>
      <c r="H8" s="38">
        <v>0</v>
      </c>
      <c r="I8" s="38">
        <v>0</v>
      </c>
      <c r="J8" s="42">
        <v>0</v>
      </c>
      <c r="K8" s="42">
        <v>0</v>
      </c>
      <c r="L8" s="42">
        <v>0</v>
      </c>
      <c r="M8" s="42">
        <v>0</v>
      </c>
      <c r="N8" s="42">
        <v>5</v>
      </c>
      <c r="O8" s="42">
        <v>0</v>
      </c>
      <c r="P8" s="42">
        <v>0</v>
      </c>
      <c r="Q8" s="42">
        <v>0</v>
      </c>
      <c r="R8" s="42">
        <f>SUM(C8:Q8)</f>
        <v>718</v>
      </c>
    </row>
    <row r="9" spans="1:18" ht="63.75">
      <c r="A9" s="38">
        <v>5</v>
      </c>
      <c r="B9" s="43" t="s">
        <v>77</v>
      </c>
      <c r="C9" s="40">
        <v>705</v>
      </c>
      <c r="D9" s="40">
        <v>100</v>
      </c>
      <c r="E9" s="40">
        <v>0</v>
      </c>
      <c r="F9" s="40">
        <v>0</v>
      </c>
      <c r="G9" s="38">
        <v>0</v>
      </c>
      <c r="H9" s="38">
        <v>0</v>
      </c>
      <c r="I9" s="38">
        <v>0</v>
      </c>
      <c r="J9" s="42">
        <v>0</v>
      </c>
      <c r="K9" s="42">
        <v>0</v>
      </c>
      <c r="L9" s="42">
        <v>35</v>
      </c>
      <c r="M9" s="42">
        <v>0</v>
      </c>
      <c r="N9" s="42">
        <v>5</v>
      </c>
      <c r="O9" s="42">
        <v>0</v>
      </c>
      <c r="P9" s="42">
        <v>0</v>
      </c>
      <c r="Q9" s="42">
        <v>0</v>
      </c>
      <c r="R9" s="42">
        <f t="shared" si="0"/>
        <v>845</v>
      </c>
    </row>
    <row r="10" spans="1:18" ht="63.75">
      <c r="A10" s="44">
        <v>6</v>
      </c>
      <c r="B10" s="45" t="s">
        <v>78</v>
      </c>
      <c r="C10" s="40">
        <v>460</v>
      </c>
      <c r="D10" s="40">
        <v>232</v>
      </c>
      <c r="E10" s="40">
        <v>9</v>
      </c>
      <c r="F10" s="40">
        <v>0</v>
      </c>
      <c r="G10" s="38">
        <v>-20</v>
      </c>
      <c r="H10" s="38">
        <v>0</v>
      </c>
      <c r="I10" s="38">
        <v>0</v>
      </c>
      <c r="J10" s="42">
        <v>0</v>
      </c>
      <c r="K10" s="42">
        <v>0</v>
      </c>
      <c r="L10" s="42">
        <v>0</v>
      </c>
      <c r="M10" s="42">
        <v>0</v>
      </c>
      <c r="N10" s="42">
        <v>5</v>
      </c>
      <c r="O10" s="42">
        <v>0</v>
      </c>
      <c r="P10" s="42">
        <v>0</v>
      </c>
      <c r="Q10" s="42">
        <v>0</v>
      </c>
      <c r="R10" s="42">
        <f t="shared" si="0"/>
        <v>686</v>
      </c>
    </row>
    <row r="11" spans="1:18" ht="38.25">
      <c r="A11" s="38">
        <v>7</v>
      </c>
      <c r="B11" s="43" t="s">
        <v>79</v>
      </c>
      <c r="C11" s="40">
        <v>260</v>
      </c>
      <c r="D11" s="40">
        <v>396</v>
      </c>
      <c r="E11" s="40">
        <v>15</v>
      </c>
      <c r="F11" s="40">
        <v>0</v>
      </c>
      <c r="G11" s="38">
        <v>-20</v>
      </c>
      <c r="H11" s="38">
        <v>0</v>
      </c>
      <c r="I11" s="38">
        <v>0</v>
      </c>
      <c r="J11" s="42">
        <v>0</v>
      </c>
      <c r="K11" s="42">
        <v>0</v>
      </c>
      <c r="L11" s="42">
        <v>0</v>
      </c>
      <c r="M11" s="42">
        <v>3</v>
      </c>
      <c r="N11" s="42">
        <v>5</v>
      </c>
      <c r="O11" s="42">
        <v>0</v>
      </c>
      <c r="P11" s="42">
        <v>0</v>
      </c>
      <c r="Q11" s="42">
        <v>0</v>
      </c>
      <c r="R11" s="42">
        <f t="shared" si="0"/>
        <v>659</v>
      </c>
    </row>
    <row r="12" spans="1:18" ht="63.75">
      <c r="A12" s="38">
        <v>8</v>
      </c>
      <c r="B12" s="39" t="s">
        <v>80</v>
      </c>
      <c r="C12" s="40">
        <v>695</v>
      </c>
      <c r="D12" s="40">
        <v>84</v>
      </c>
      <c r="E12" s="40">
        <v>0</v>
      </c>
      <c r="F12" s="40">
        <v>0</v>
      </c>
      <c r="G12" s="38">
        <v>0</v>
      </c>
      <c r="H12" s="38">
        <v>0</v>
      </c>
      <c r="I12" s="38">
        <v>0</v>
      </c>
      <c r="J12" s="42">
        <v>0</v>
      </c>
      <c r="K12" s="42">
        <v>0</v>
      </c>
      <c r="L12" s="42">
        <v>0</v>
      </c>
      <c r="M12" s="42">
        <v>0</v>
      </c>
      <c r="N12" s="42">
        <v>5</v>
      </c>
      <c r="O12" s="42">
        <v>0</v>
      </c>
      <c r="P12" s="42">
        <v>0</v>
      </c>
      <c r="Q12" s="42">
        <v>0</v>
      </c>
      <c r="R12" s="42">
        <f t="shared" si="0"/>
        <v>784</v>
      </c>
    </row>
    <row r="13" spans="1:18" ht="63.75">
      <c r="A13" s="38">
        <v>9</v>
      </c>
      <c r="B13" s="39" t="s">
        <v>81</v>
      </c>
      <c r="C13" s="40">
        <v>730</v>
      </c>
      <c r="D13" s="40">
        <v>68</v>
      </c>
      <c r="E13" s="40">
        <v>0</v>
      </c>
      <c r="F13" s="40">
        <v>0</v>
      </c>
      <c r="G13" s="38">
        <v>0</v>
      </c>
      <c r="H13" s="38">
        <v>0</v>
      </c>
      <c r="I13" s="38">
        <v>0</v>
      </c>
      <c r="J13" s="42">
        <v>0</v>
      </c>
      <c r="K13" s="42">
        <v>0</v>
      </c>
      <c r="L13" s="42">
        <v>5</v>
      </c>
      <c r="M13" s="42">
        <v>3</v>
      </c>
      <c r="N13" s="42">
        <v>5</v>
      </c>
      <c r="O13" s="42">
        <v>0</v>
      </c>
      <c r="P13" s="42">
        <v>0</v>
      </c>
      <c r="Q13" s="42">
        <v>0</v>
      </c>
      <c r="R13" s="42">
        <f t="shared" si="0"/>
        <v>811</v>
      </c>
    </row>
    <row r="14" spans="1:18" ht="51">
      <c r="A14" s="38">
        <v>10</v>
      </c>
      <c r="B14" s="39" t="s">
        <v>82</v>
      </c>
      <c r="C14" s="40">
        <v>635</v>
      </c>
      <c r="D14" s="40">
        <v>128</v>
      </c>
      <c r="E14" s="40">
        <v>0</v>
      </c>
      <c r="F14" s="40">
        <v>0</v>
      </c>
      <c r="G14" s="38">
        <v>-10</v>
      </c>
      <c r="H14" s="38">
        <v>0</v>
      </c>
      <c r="I14" s="38">
        <v>0</v>
      </c>
      <c r="J14" s="42">
        <v>0</v>
      </c>
      <c r="K14" s="42">
        <v>0</v>
      </c>
      <c r="L14" s="42">
        <v>0</v>
      </c>
      <c r="M14" s="42">
        <v>3</v>
      </c>
      <c r="N14" s="42">
        <v>5</v>
      </c>
      <c r="O14" s="42">
        <v>0</v>
      </c>
      <c r="P14" s="42">
        <v>0</v>
      </c>
      <c r="Q14" s="42">
        <v>0</v>
      </c>
      <c r="R14" s="42">
        <f t="shared" si="0"/>
        <v>761</v>
      </c>
    </row>
    <row r="15" spans="1:18" ht="63.75">
      <c r="A15" s="38">
        <v>11</v>
      </c>
      <c r="B15" s="39" t="s">
        <v>83</v>
      </c>
      <c r="C15" s="40">
        <v>235</v>
      </c>
      <c r="D15" s="40">
        <v>468</v>
      </c>
      <c r="E15" s="40">
        <v>27</v>
      </c>
      <c r="F15" s="40">
        <v>0</v>
      </c>
      <c r="G15" s="38">
        <v>0</v>
      </c>
      <c r="H15" s="38">
        <v>0</v>
      </c>
      <c r="I15" s="38">
        <v>0</v>
      </c>
      <c r="J15" s="42">
        <v>0</v>
      </c>
      <c r="K15" s="42">
        <v>0</v>
      </c>
      <c r="L15" s="42">
        <v>0</v>
      </c>
      <c r="M15" s="42">
        <v>0</v>
      </c>
      <c r="N15" s="42">
        <v>5</v>
      </c>
      <c r="O15" s="42">
        <v>0</v>
      </c>
      <c r="P15" s="42">
        <v>0</v>
      </c>
      <c r="Q15" s="42">
        <v>0</v>
      </c>
      <c r="R15" s="42">
        <f t="shared" si="0"/>
        <v>735</v>
      </c>
    </row>
    <row r="16" spans="1:18" ht="51">
      <c r="A16" s="38">
        <v>12</v>
      </c>
      <c r="B16" s="39" t="s">
        <v>84</v>
      </c>
      <c r="C16" s="40">
        <v>515</v>
      </c>
      <c r="D16" s="40">
        <v>228</v>
      </c>
      <c r="E16" s="40">
        <v>3</v>
      </c>
      <c r="F16" s="40">
        <v>0</v>
      </c>
      <c r="G16" s="38">
        <v>0</v>
      </c>
      <c r="H16" s="38">
        <v>0</v>
      </c>
      <c r="I16" s="38">
        <v>0</v>
      </c>
      <c r="J16" s="42">
        <v>0</v>
      </c>
      <c r="K16" s="42">
        <v>0</v>
      </c>
      <c r="L16" s="42">
        <v>0</v>
      </c>
      <c r="M16" s="42">
        <v>0</v>
      </c>
      <c r="N16" s="42">
        <v>5</v>
      </c>
      <c r="O16" s="42">
        <v>0</v>
      </c>
      <c r="P16" s="42">
        <v>0</v>
      </c>
      <c r="Q16" s="42">
        <v>0</v>
      </c>
      <c r="R16" s="42">
        <f t="shared" si="0"/>
        <v>751</v>
      </c>
    </row>
    <row r="17" spans="1:18" ht="51">
      <c r="A17" s="38">
        <v>13</v>
      </c>
      <c r="B17" s="39" t="s">
        <v>85</v>
      </c>
      <c r="C17" s="40">
        <v>430</v>
      </c>
      <c r="D17" s="40">
        <v>372</v>
      </c>
      <c r="E17" s="40">
        <v>6</v>
      </c>
      <c r="F17" s="40">
        <v>0</v>
      </c>
      <c r="G17" s="38">
        <v>0</v>
      </c>
      <c r="H17" s="38">
        <v>0</v>
      </c>
      <c r="I17" s="38">
        <v>0</v>
      </c>
      <c r="J17" s="42">
        <v>0</v>
      </c>
      <c r="K17" s="42">
        <v>0</v>
      </c>
      <c r="L17" s="42">
        <v>0</v>
      </c>
      <c r="M17" s="42">
        <v>0</v>
      </c>
      <c r="N17" s="42">
        <v>5</v>
      </c>
      <c r="O17" s="42">
        <v>0</v>
      </c>
      <c r="P17" s="42">
        <v>0</v>
      </c>
      <c r="Q17" s="42">
        <v>0</v>
      </c>
      <c r="R17" s="42">
        <f t="shared" si="0"/>
        <v>813</v>
      </c>
    </row>
    <row r="18" spans="1:18" ht="25.5">
      <c r="A18" s="38">
        <v>14</v>
      </c>
      <c r="B18" s="39" t="s">
        <v>86</v>
      </c>
      <c r="C18" s="40">
        <v>740</v>
      </c>
      <c r="D18" s="40">
        <v>116</v>
      </c>
      <c r="E18" s="40">
        <v>0</v>
      </c>
      <c r="F18" s="40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35</v>
      </c>
      <c r="M18" s="42">
        <v>8</v>
      </c>
      <c r="N18" s="42">
        <v>5</v>
      </c>
      <c r="O18" s="42">
        <v>5</v>
      </c>
      <c r="P18" s="42">
        <v>0</v>
      </c>
      <c r="Q18" s="42">
        <v>2</v>
      </c>
      <c r="R18" s="42">
        <f>SUM(C18:Q18)</f>
        <v>911</v>
      </c>
    </row>
    <row r="19" spans="1:18" ht="51">
      <c r="A19" s="38">
        <v>15</v>
      </c>
      <c r="B19" s="39" t="s">
        <v>87</v>
      </c>
      <c r="C19" s="40">
        <v>505</v>
      </c>
      <c r="D19" s="40">
        <v>224</v>
      </c>
      <c r="E19" s="40">
        <v>18</v>
      </c>
      <c r="F19" s="40">
        <v>0</v>
      </c>
      <c r="G19" s="38">
        <v>0</v>
      </c>
      <c r="H19" s="38">
        <v>0</v>
      </c>
      <c r="I19" s="38">
        <v>0</v>
      </c>
      <c r="J19" s="42">
        <v>0</v>
      </c>
      <c r="K19" s="42">
        <v>0</v>
      </c>
      <c r="L19" s="42">
        <v>0</v>
      </c>
      <c r="M19" s="42">
        <v>3</v>
      </c>
      <c r="N19" s="42">
        <v>5</v>
      </c>
      <c r="O19" s="42">
        <v>0</v>
      </c>
      <c r="P19" s="42">
        <v>0</v>
      </c>
      <c r="Q19" s="42">
        <v>0</v>
      </c>
      <c r="R19" s="42">
        <f t="shared" si="0"/>
        <v>755</v>
      </c>
    </row>
    <row r="20" spans="1:18" ht="51">
      <c r="A20" s="38">
        <v>16</v>
      </c>
      <c r="B20" s="39" t="s">
        <v>88</v>
      </c>
      <c r="C20" s="40">
        <v>245</v>
      </c>
      <c r="D20" s="40">
        <v>408</v>
      </c>
      <c r="E20" s="40">
        <v>18</v>
      </c>
      <c r="F20" s="40">
        <v>0</v>
      </c>
      <c r="G20" s="38">
        <v>-30</v>
      </c>
      <c r="H20" s="38">
        <v>0</v>
      </c>
      <c r="I20" s="38">
        <v>0</v>
      </c>
      <c r="J20" s="42">
        <v>0</v>
      </c>
      <c r="K20" s="42">
        <v>0</v>
      </c>
      <c r="L20" s="42">
        <v>0</v>
      </c>
      <c r="M20" s="42">
        <v>3</v>
      </c>
      <c r="N20" s="42">
        <v>5</v>
      </c>
      <c r="O20" s="42">
        <v>0</v>
      </c>
      <c r="P20" s="42">
        <v>0</v>
      </c>
      <c r="Q20" s="42">
        <v>0</v>
      </c>
      <c r="R20" s="42">
        <f t="shared" si="0"/>
        <v>649</v>
      </c>
    </row>
    <row r="21" spans="1:18" ht="38.25">
      <c r="A21" s="38">
        <v>17</v>
      </c>
      <c r="B21" s="39" t="s">
        <v>89</v>
      </c>
      <c r="C21" s="40">
        <v>495</v>
      </c>
      <c r="D21" s="40">
        <v>164</v>
      </c>
      <c r="E21" s="40">
        <v>15</v>
      </c>
      <c r="F21" s="40">
        <v>0</v>
      </c>
      <c r="G21" s="38">
        <v>0</v>
      </c>
      <c r="H21" s="38">
        <v>0</v>
      </c>
      <c r="I21" s="38">
        <v>0</v>
      </c>
      <c r="J21" s="42">
        <v>0</v>
      </c>
      <c r="K21" s="42">
        <v>0</v>
      </c>
      <c r="L21" s="42">
        <v>0</v>
      </c>
      <c r="M21" s="42">
        <v>0</v>
      </c>
      <c r="N21" s="42">
        <v>5</v>
      </c>
      <c r="O21" s="42">
        <v>0</v>
      </c>
      <c r="P21" s="42">
        <v>0</v>
      </c>
      <c r="Q21" s="42">
        <v>0</v>
      </c>
      <c r="R21" s="42">
        <f t="shared" si="0"/>
        <v>679</v>
      </c>
    </row>
    <row r="22" spans="1:18" ht="63.75">
      <c r="A22" s="38">
        <v>18</v>
      </c>
      <c r="B22" s="39" t="s">
        <v>90</v>
      </c>
      <c r="C22" s="40">
        <v>610</v>
      </c>
      <c r="D22" s="40">
        <v>172</v>
      </c>
      <c r="E22" s="40">
        <v>0</v>
      </c>
      <c r="F22" s="40">
        <v>0</v>
      </c>
      <c r="G22" s="38">
        <v>0</v>
      </c>
      <c r="H22" s="38">
        <v>0</v>
      </c>
      <c r="I22" s="38">
        <v>0</v>
      </c>
      <c r="J22" s="42">
        <v>0</v>
      </c>
      <c r="K22" s="42">
        <v>0</v>
      </c>
      <c r="L22" s="42">
        <v>0</v>
      </c>
      <c r="M22" s="42">
        <v>0</v>
      </c>
      <c r="N22" s="42">
        <v>5</v>
      </c>
      <c r="O22" s="42">
        <v>0</v>
      </c>
      <c r="P22" s="42">
        <v>0</v>
      </c>
      <c r="Q22" s="42">
        <v>0</v>
      </c>
      <c r="R22" s="42">
        <f t="shared" si="0"/>
        <v>787</v>
      </c>
    </row>
    <row r="23" spans="1:18" ht="25.5">
      <c r="A23" s="38">
        <v>19</v>
      </c>
      <c r="B23" s="39" t="s">
        <v>91</v>
      </c>
      <c r="C23" s="40">
        <v>690</v>
      </c>
      <c r="D23" s="40">
        <v>144</v>
      </c>
      <c r="E23" s="40">
        <v>0</v>
      </c>
      <c r="F23" s="40">
        <v>0</v>
      </c>
      <c r="G23" s="38">
        <v>0</v>
      </c>
      <c r="H23" s="38">
        <v>0</v>
      </c>
      <c r="I23" s="38">
        <v>0</v>
      </c>
      <c r="J23" s="42">
        <v>0</v>
      </c>
      <c r="K23" s="42">
        <v>0</v>
      </c>
      <c r="L23" s="42">
        <v>0</v>
      </c>
      <c r="M23" s="42">
        <v>3</v>
      </c>
      <c r="N23" s="42">
        <v>5</v>
      </c>
      <c r="O23" s="42">
        <v>0</v>
      </c>
      <c r="P23" s="42">
        <v>0</v>
      </c>
      <c r="Q23" s="42">
        <v>0</v>
      </c>
      <c r="R23" s="42">
        <f t="shared" si="0"/>
        <v>842</v>
      </c>
    </row>
    <row r="24" spans="1:18" ht="63.75">
      <c r="A24" s="38">
        <v>20</v>
      </c>
      <c r="B24" s="39" t="s">
        <v>92</v>
      </c>
      <c r="C24" s="40">
        <v>625</v>
      </c>
      <c r="D24" s="40">
        <v>180</v>
      </c>
      <c r="E24" s="40">
        <v>3</v>
      </c>
      <c r="F24" s="40">
        <v>0</v>
      </c>
      <c r="G24" s="38">
        <v>-10</v>
      </c>
      <c r="H24" s="38">
        <v>0</v>
      </c>
      <c r="I24" s="38">
        <v>0</v>
      </c>
      <c r="J24" s="42">
        <v>0</v>
      </c>
      <c r="K24" s="42">
        <v>0</v>
      </c>
      <c r="L24" s="42">
        <v>0</v>
      </c>
      <c r="M24" s="42">
        <v>0</v>
      </c>
      <c r="N24" s="42">
        <v>5</v>
      </c>
      <c r="O24" s="42">
        <v>0</v>
      </c>
      <c r="P24" s="42">
        <v>0</v>
      </c>
      <c r="Q24" s="42">
        <v>0</v>
      </c>
      <c r="R24" s="42">
        <f t="shared" si="0"/>
        <v>803</v>
      </c>
    </row>
    <row r="25" spans="1:18" ht="63.75">
      <c r="A25" s="38">
        <v>21</v>
      </c>
      <c r="B25" s="39" t="s">
        <v>93</v>
      </c>
      <c r="C25" s="40">
        <v>715</v>
      </c>
      <c r="D25" s="40">
        <v>120</v>
      </c>
      <c r="E25" s="40">
        <v>0</v>
      </c>
      <c r="F25" s="40">
        <v>0</v>
      </c>
      <c r="G25" s="38">
        <v>0</v>
      </c>
      <c r="H25" s="38">
        <v>0</v>
      </c>
      <c r="I25" s="38">
        <v>0</v>
      </c>
      <c r="J25" s="42">
        <v>0</v>
      </c>
      <c r="K25" s="42">
        <v>0</v>
      </c>
      <c r="L25" s="42">
        <v>0</v>
      </c>
      <c r="M25" s="42">
        <v>0</v>
      </c>
      <c r="N25" s="42">
        <v>5</v>
      </c>
      <c r="O25" s="42">
        <v>0</v>
      </c>
      <c r="P25" s="42">
        <v>0</v>
      </c>
      <c r="Q25" s="42">
        <v>0</v>
      </c>
      <c r="R25" s="42">
        <f t="shared" si="0"/>
        <v>840</v>
      </c>
    </row>
    <row r="26" spans="1:18" ht="63.75">
      <c r="A26" s="38">
        <v>22</v>
      </c>
      <c r="B26" s="39" t="s">
        <v>94</v>
      </c>
      <c r="C26" s="40">
        <v>275</v>
      </c>
      <c r="D26" s="40">
        <v>464</v>
      </c>
      <c r="E26" s="40">
        <v>3</v>
      </c>
      <c r="F26" s="40">
        <v>0</v>
      </c>
      <c r="G26" s="38">
        <v>0</v>
      </c>
      <c r="H26" s="38">
        <v>0</v>
      </c>
      <c r="I26" s="38">
        <v>0</v>
      </c>
      <c r="J26" s="42">
        <v>0</v>
      </c>
      <c r="K26" s="42">
        <v>0</v>
      </c>
      <c r="L26" s="42">
        <v>0</v>
      </c>
      <c r="M26" s="42">
        <v>0</v>
      </c>
      <c r="N26" s="42">
        <v>5</v>
      </c>
      <c r="O26" s="42">
        <v>0</v>
      </c>
      <c r="P26" s="42">
        <v>0</v>
      </c>
      <c r="Q26" s="42">
        <v>0</v>
      </c>
      <c r="R26" s="42">
        <f t="shared" si="0"/>
        <v>747</v>
      </c>
    </row>
    <row r="27" spans="1:18" ht="51">
      <c r="A27" s="38">
        <v>23</v>
      </c>
      <c r="B27" s="39" t="s">
        <v>95</v>
      </c>
      <c r="C27" s="46">
        <v>205</v>
      </c>
      <c r="D27" s="46">
        <v>508</v>
      </c>
      <c r="E27" s="40">
        <v>15</v>
      </c>
      <c r="F27" s="40">
        <v>0</v>
      </c>
      <c r="G27" s="42">
        <v>0</v>
      </c>
      <c r="H27" s="42">
        <v>0</v>
      </c>
      <c r="I27" s="38">
        <v>0</v>
      </c>
      <c r="J27" s="42">
        <v>0</v>
      </c>
      <c r="K27" s="42">
        <v>0</v>
      </c>
      <c r="L27" s="38">
        <v>0</v>
      </c>
      <c r="M27" s="38">
        <v>0</v>
      </c>
      <c r="N27" s="42">
        <v>5</v>
      </c>
      <c r="O27" s="42">
        <v>0</v>
      </c>
      <c r="P27" s="42">
        <v>0</v>
      </c>
      <c r="Q27" s="42">
        <v>0</v>
      </c>
      <c r="R27" s="42">
        <f t="shared" si="0"/>
        <v>733</v>
      </c>
    </row>
    <row r="28" spans="1:18" ht="51">
      <c r="A28" s="38">
        <v>24</v>
      </c>
      <c r="B28" s="39" t="s">
        <v>96</v>
      </c>
      <c r="C28" s="40">
        <v>845</v>
      </c>
      <c r="D28" s="40">
        <v>52</v>
      </c>
      <c r="E28" s="40">
        <v>0</v>
      </c>
      <c r="F28" s="40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5</v>
      </c>
      <c r="M28" s="42">
        <v>3</v>
      </c>
      <c r="N28" s="42">
        <v>5</v>
      </c>
      <c r="O28" s="42">
        <v>0</v>
      </c>
      <c r="P28" s="42">
        <v>0</v>
      </c>
      <c r="Q28" s="42">
        <v>0</v>
      </c>
      <c r="R28" s="42">
        <f t="shared" si="0"/>
        <v>910</v>
      </c>
    </row>
    <row r="29" spans="1:18" ht="63.75">
      <c r="A29" s="38">
        <v>25</v>
      </c>
      <c r="B29" s="39" t="s">
        <v>97</v>
      </c>
      <c r="C29" s="40">
        <v>795</v>
      </c>
      <c r="D29" s="40">
        <v>52</v>
      </c>
      <c r="E29" s="40">
        <v>0</v>
      </c>
      <c r="F29" s="40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5</v>
      </c>
      <c r="M29" s="42">
        <v>0</v>
      </c>
      <c r="N29" s="42">
        <v>5</v>
      </c>
      <c r="O29" s="42">
        <v>0</v>
      </c>
      <c r="P29" s="42">
        <v>0</v>
      </c>
      <c r="Q29" s="42">
        <v>0</v>
      </c>
      <c r="R29" s="42">
        <f t="shared" si="0"/>
        <v>857</v>
      </c>
    </row>
    <row r="30" spans="1:18" ht="51">
      <c r="A30" s="38">
        <v>26</v>
      </c>
      <c r="B30" s="39" t="s">
        <v>98</v>
      </c>
      <c r="C30" s="40">
        <v>210</v>
      </c>
      <c r="D30" s="40">
        <v>520</v>
      </c>
      <c r="E30" s="40">
        <v>18</v>
      </c>
      <c r="F30" s="40">
        <v>0</v>
      </c>
      <c r="G30" s="42">
        <v>-20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3</v>
      </c>
      <c r="N30" s="42">
        <v>5</v>
      </c>
      <c r="O30" s="42">
        <v>0</v>
      </c>
      <c r="P30" s="42">
        <v>0</v>
      </c>
      <c r="Q30" s="42">
        <v>0</v>
      </c>
      <c r="R30" s="42">
        <f t="shared" si="0"/>
        <v>736</v>
      </c>
    </row>
    <row r="31" spans="1:18" ht="63.75">
      <c r="A31" s="38">
        <v>27</v>
      </c>
      <c r="B31" s="39" t="s">
        <v>99</v>
      </c>
      <c r="C31" s="40">
        <v>745</v>
      </c>
      <c r="D31" s="40">
        <v>92</v>
      </c>
      <c r="E31" s="40">
        <v>0</v>
      </c>
      <c r="F31" s="40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3</v>
      </c>
      <c r="N31" s="42">
        <v>5</v>
      </c>
      <c r="O31" s="42">
        <v>0</v>
      </c>
      <c r="P31" s="42">
        <v>0</v>
      </c>
      <c r="Q31" s="42">
        <v>0</v>
      </c>
      <c r="R31" s="42">
        <f t="shared" si="0"/>
        <v>845</v>
      </c>
    </row>
  </sheetData>
  <sheetProtection/>
  <mergeCells count="19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R35"/>
    </sheetView>
  </sheetViews>
  <sheetFormatPr defaultColWidth="9.140625" defaultRowHeight="15"/>
  <sheetData>
    <row r="1" spans="1:18" ht="15">
      <c r="A1" s="321" t="s">
        <v>769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191"/>
      <c r="B2" s="192"/>
      <c r="C2" s="191"/>
      <c r="D2" s="191"/>
      <c r="E2" s="191"/>
      <c r="F2" s="191"/>
      <c r="G2" s="191"/>
      <c r="H2" s="193"/>
      <c r="I2" s="193"/>
      <c r="J2" s="193"/>
      <c r="K2" s="193"/>
      <c r="L2" s="193"/>
      <c r="M2" s="193"/>
      <c r="N2" s="193"/>
      <c r="O2" s="364" t="s">
        <v>0</v>
      </c>
      <c r="P2" s="364"/>
      <c r="Q2" s="364"/>
      <c r="R2" s="194">
        <v>26005</v>
      </c>
    </row>
    <row r="3" spans="1:18" ht="15">
      <c r="A3" s="354" t="s">
        <v>1</v>
      </c>
      <c r="B3" s="365" t="s">
        <v>2</v>
      </c>
      <c r="C3" s="362" t="s">
        <v>7</v>
      </c>
      <c r="D3" s="362" t="s">
        <v>8</v>
      </c>
      <c r="E3" s="362" t="s">
        <v>9</v>
      </c>
      <c r="F3" s="362" t="s">
        <v>10</v>
      </c>
      <c r="G3" s="362" t="s">
        <v>770</v>
      </c>
      <c r="H3" s="362" t="s">
        <v>771</v>
      </c>
      <c r="I3" s="362" t="s">
        <v>772</v>
      </c>
      <c r="J3" s="362" t="s">
        <v>13</v>
      </c>
      <c r="K3" s="362" t="s">
        <v>14</v>
      </c>
      <c r="L3" s="362" t="s">
        <v>773</v>
      </c>
      <c r="M3" s="362" t="s">
        <v>16</v>
      </c>
      <c r="N3" s="362" t="s">
        <v>17</v>
      </c>
      <c r="O3" s="362" t="s">
        <v>5</v>
      </c>
      <c r="P3" s="362" t="s">
        <v>18</v>
      </c>
      <c r="Q3" s="362" t="s">
        <v>6</v>
      </c>
      <c r="R3" s="310" t="s">
        <v>3</v>
      </c>
    </row>
    <row r="4" spans="1:18" ht="15">
      <c r="A4" s="354"/>
      <c r="B4" s="365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2"/>
      <c r="N4" s="363"/>
      <c r="O4" s="363"/>
      <c r="P4" s="362"/>
      <c r="Q4" s="363"/>
      <c r="R4" s="310"/>
    </row>
    <row r="5" spans="1:18" ht="25.5">
      <c r="A5" s="195">
        <v>1</v>
      </c>
      <c r="B5" s="196" t="s">
        <v>774</v>
      </c>
      <c r="C5" s="197">
        <v>420</v>
      </c>
      <c r="D5" s="197">
        <v>504</v>
      </c>
      <c r="E5" s="197">
        <v>33</v>
      </c>
      <c r="F5" s="197"/>
      <c r="G5" s="197">
        <v>-50</v>
      </c>
      <c r="H5" s="197"/>
      <c r="I5" s="197"/>
      <c r="J5" s="197"/>
      <c r="K5" s="197"/>
      <c r="L5" s="197"/>
      <c r="M5" s="197"/>
      <c r="N5" s="197"/>
      <c r="O5" s="197"/>
      <c r="P5" s="197">
        <v>5</v>
      </c>
      <c r="Q5" s="197"/>
      <c r="R5" s="198">
        <v>912</v>
      </c>
    </row>
    <row r="6" spans="1:18" ht="25.5">
      <c r="A6" s="195">
        <v>2</v>
      </c>
      <c r="B6" s="199" t="s">
        <v>775</v>
      </c>
      <c r="C6" s="197">
        <v>395</v>
      </c>
      <c r="D6" s="197">
        <v>452</v>
      </c>
      <c r="E6" s="197">
        <v>39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>
        <v>5</v>
      </c>
      <c r="Q6" s="197"/>
      <c r="R6" s="198">
        <v>891</v>
      </c>
    </row>
    <row r="7" spans="1:18" ht="51">
      <c r="A7" s="195">
        <v>3</v>
      </c>
      <c r="B7" s="200" t="s">
        <v>776</v>
      </c>
      <c r="C7" s="197">
        <v>350</v>
      </c>
      <c r="D7" s="197">
        <v>444</v>
      </c>
      <c r="E7" s="197">
        <v>51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>
        <v>5</v>
      </c>
      <c r="Q7" s="197"/>
      <c r="R7" s="198">
        <v>750</v>
      </c>
    </row>
    <row r="8" spans="1:18" ht="38.25">
      <c r="A8" s="195">
        <v>4</v>
      </c>
      <c r="B8" s="196" t="s">
        <v>777</v>
      </c>
      <c r="C8" s="197">
        <v>660</v>
      </c>
      <c r="D8" s="197">
        <v>248</v>
      </c>
      <c r="E8" s="197">
        <v>12</v>
      </c>
      <c r="F8" s="197"/>
      <c r="G8" s="197"/>
      <c r="H8" s="197"/>
      <c r="I8" s="197"/>
      <c r="J8" s="197">
        <v>60</v>
      </c>
      <c r="K8" s="197"/>
      <c r="L8" s="197">
        <v>3</v>
      </c>
      <c r="M8" s="197"/>
      <c r="N8" s="197"/>
      <c r="O8" s="197"/>
      <c r="P8" s="197">
        <v>5</v>
      </c>
      <c r="Q8" s="197"/>
      <c r="R8" s="198">
        <v>988</v>
      </c>
    </row>
    <row r="9" spans="1:18" ht="25.5">
      <c r="A9" s="195">
        <v>5</v>
      </c>
      <c r="B9" s="201" t="s">
        <v>778</v>
      </c>
      <c r="C9" s="197">
        <v>600</v>
      </c>
      <c r="D9" s="197">
        <v>376</v>
      </c>
      <c r="E9" s="197">
        <v>12</v>
      </c>
      <c r="F9" s="197"/>
      <c r="G9" s="197"/>
      <c r="H9" s="197"/>
      <c r="I9" s="197"/>
      <c r="J9" s="197">
        <v>30</v>
      </c>
      <c r="K9" s="197"/>
      <c r="L9" s="197"/>
      <c r="M9" s="197"/>
      <c r="N9" s="197"/>
      <c r="O9" s="197"/>
      <c r="P9" s="197">
        <v>5</v>
      </c>
      <c r="Q9" s="197"/>
      <c r="R9" s="198">
        <v>1023</v>
      </c>
    </row>
    <row r="10" spans="1:18" ht="25.5">
      <c r="A10" s="195">
        <v>6</v>
      </c>
      <c r="B10" s="196" t="s">
        <v>779</v>
      </c>
      <c r="C10" s="197">
        <v>405</v>
      </c>
      <c r="D10" s="197">
        <v>400</v>
      </c>
      <c r="E10" s="197">
        <v>75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>
        <v>5</v>
      </c>
      <c r="Q10" s="197"/>
      <c r="R10" s="198">
        <v>885</v>
      </c>
    </row>
    <row r="11" spans="1:18" ht="25.5">
      <c r="A11" s="195">
        <v>7</v>
      </c>
      <c r="B11" s="196" t="s">
        <v>780</v>
      </c>
      <c r="C11" s="197">
        <v>325</v>
      </c>
      <c r="D11" s="197">
        <v>468</v>
      </c>
      <c r="E11" s="197">
        <v>54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>
        <v>5</v>
      </c>
      <c r="Q11" s="197"/>
      <c r="R11" s="198">
        <v>852</v>
      </c>
    </row>
    <row r="12" spans="1:18" ht="25.5">
      <c r="A12" s="195">
        <v>8</v>
      </c>
      <c r="B12" s="196" t="s">
        <v>781</v>
      </c>
      <c r="C12" s="197">
        <v>670</v>
      </c>
      <c r="D12" s="197">
        <v>284</v>
      </c>
      <c r="E12" s="197">
        <v>6</v>
      </c>
      <c r="F12" s="197"/>
      <c r="G12" s="197"/>
      <c r="H12" s="197"/>
      <c r="I12" s="197"/>
      <c r="J12" s="197">
        <v>30</v>
      </c>
      <c r="K12" s="197"/>
      <c r="L12" s="197">
        <v>8</v>
      </c>
      <c r="M12" s="197"/>
      <c r="N12" s="197"/>
      <c r="O12" s="197"/>
      <c r="P12" s="197">
        <v>5</v>
      </c>
      <c r="Q12" s="197"/>
      <c r="R12" s="198">
        <v>1013</v>
      </c>
    </row>
    <row r="13" spans="1:18" ht="25.5">
      <c r="A13" s="202">
        <v>9</v>
      </c>
      <c r="B13" s="196" t="s">
        <v>782</v>
      </c>
      <c r="C13" s="197">
        <v>485</v>
      </c>
      <c r="D13" s="197">
        <v>416</v>
      </c>
      <c r="E13" s="197">
        <v>27</v>
      </c>
      <c r="F13" s="197"/>
      <c r="G13" s="197">
        <v>-20</v>
      </c>
      <c r="H13" s="197"/>
      <c r="I13" s="197"/>
      <c r="J13" s="197"/>
      <c r="K13" s="197"/>
      <c r="L13" s="197"/>
      <c r="M13" s="197"/>
      <c r="N13" s="197"/>
      <c r="O13" s="197"/>
      <c r="P13" s="197">
        <v>5</v>
      </c>
      <c r="Q13" s="197"/>
      <c r="R13" s="198">
        <v>913</v>
      </c>
    </row>
    <row r="14" spans="1:18" ht="38.25">
      <c r="A14" s="202">
        <v>10</v>
      </c>
      <c r="B14" s="196" t="s">
        <v>783</v>
      </c>
      <c r="C14" s="197">
        <v>435</v>
      </c>
      <c r="D14" s="197">
        <v>484</v>
      </c>
      <c r="E14" s="197">
        <v>30</v>
      </c>
      <c r="F14" s="197"/>
      <c r="G14" s="197">
        <v>-30</v>
      </c>
      <c r="H14" s="197"/>
      <c r="I14" s="197"/>
      <c r="J14" s="197">
        <v>30</v>
      </c>
      <c r="K14" s="197"/>
      <c r="L14" s="197">
        <v>3</v>
      </c>
      <c r="M14" s="197"/>
      <c r="N14" s="197"/>
      <c r="O14" s="197"/>
      <c r="P14" s="197">
        <v>5</v>
      </c>
      <c r="Q14" s="197"/>
      <c r="R14" s="198">
        <v>957</v>
      </c>
    </row>
    <row r="15" spans="1:18" ht="38.25">
      <c r="A15" s="195">
        <v>11</v>
      </c>
      <c r="B15" s="200" t="s">
        <v>784</v>
      </c>
      <c r="C15" s="197">
        <v>380</v>
      </c>
      <c r="D15" s="197">
        <v>360</v>
      </c>
      <c r="E15" s="197">
        <v>27</v>
      </c>
      <c r="F15" s="197">
        <v>-2</v>
      </c>
      <c r="G15" s="197">
        <v>-10</v>
      </c>
      <c r="H15" s="197"/>
      <c r="I15" s="197"/>
      <c r="J15" s="197"/>
      <c r="K15" s="197"/>
      <c r="L15" s="197"/>
      <c r="M15" s="197"/>
      <c r="N15" s="197"/>
      <c r="O15" s="197"/>
      <c r="P15" s="197">
        <v>5</v>
      </c>
      <c r="Q15" s="197"/>
      <c r="R15" s="198">
        <v>760</v>
      </c>
    </row>
    <row r="16" spans="1:18" ht="38.25">
      <c r="A16" s="202">
        <v>12</v>
      </c>
      <c r="B16" s="196" t="s">
        <v>785</v>
      </c>
      <c r="C16" s="197">
        <v>355</v>
      </c>
      <c r="D16" s="197">
        <v>428</v>
      </c>
      <c r="E16" s="197">
        <v>30</v>
      </c>
      <c r="F16" s="197">
        <v>-2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>
        <v>5</v>
      </c>
      <c r="Q16" s="197"/>
      <c r="R16" s="198">
        <v>821</v>
      </c>
    </row>
    <row r="17" spans="1:18" ht="25.5">
      <c r="A17" s="195">
        <v>13</v>
      </c>
      <c r="B17" s="196" t="s">
        <v>786</v>
      </c>
      <c r="C17" s="197">
        <v>545</v>
      </c>
      <c r="D17" s="197">
        <v>304</v>
      </c>
      <c r="E17" s="197">
        <v>9</v>
      </c>
      <c r="F17" s="197">
        <v>-2</v>
      </c>
      <c r="G17" s="197">
        <v>-10</v>
      </c>
      <c r="H17" s="197"/>
      <c r="I17" s="197"/>
      <c r="J17" s="197"/>
      <c r="K17" s="197"/>
      <c r="L17" s="197"/>
      <c r="M17" s="197"/>
      <c r="N17" s="197"/>
      <c r="O17" s="197"/>
      <c r="P17" s="197">
        <v>5</v>
      </c>
      <c r="Q17" s="197"/>
      <c r="R17" s="198">
        <v>851</v>
      </c>
    </row>
    <row r="18" spans="1:18" ht="51">
      <c r="A18" s="195">
        <v>14</v>
      </c>
      <c r="B18" s="200" t="s">
        <v>787</v>
      </c>
      <c r="C18" s="197">
        <v>460</v>
      </c>
      <c r="D18" s="197">
        <v>348</v>
      </c>
      <c r="E18" s="197">
        <v>21</v>
      </c>
      <c r="F18" s="197">
        <v>-2</v>
      </c>
      <c r="G18" s="197">
        <v>-10</v>
      </c>
      <c r="H18" s="197"/>
      <c r="I18" s="197"/>
      <c r="J18" s="197"/>
      <c r="K18" s="197"/>
      <c r="L18" s="197"/>
      <c r="M18" s="197"/>
      <c r="N18" s="197"/>
      <c r="O18" s="197"/>
      <c r="P18" s="197">
        <v>5</v>
      </c>
      <c r="Q18" s="197"/>
      <c r="R18" s="198">
        <v>822</v>
      </c>
    </row>
    <row r="19" spans="1:18" ht="25.5">
      <c r="A19" s="195">
        <v>15</v>
      </c>
      <c r="B19" s="196" t="s">
        <v>788</v>
      </c>
      <c r="C19" s="197">
        <v>670</v>
      </c>
      <c r="D19" s="197">
        <v>164</v>
      </c>
      <c r="E19" s="197">
        <v>12</v>
      </c>
      <c r="F19" s="197">
        <v>-2</v>
      </c>
      <c r="G19" s="197">
        <v>-20</v>
      </c>
      <c r="H19" s="197"/>
      <c r="I19" s="197"/>
      <c r="J19" s="197"/>
      <c r="K19" s="197"/>
      <c r="L19" s="197"/>
      <c r="M19" s="197"/>
      <c r="N19" s="197"/>
      <c r="O19" s="197"/>
      <c r="P19" s="197">
        <v>5</v>
      </c>
      <c r="Q19" s="197"/>
      <c r="R19" s="198">
        <v>831</v>
      </c>
    </row>
    <row r="20" spans="1:18" ht="38.25">
      <c r="A20" s="195">
        <v>16</v>
      </c>
      <c r="B20" s="196" t="s">
        <v>789</v>
      </c>
      <c r="C20" s="197">
        <v>805</v>
      </c>
      <c r="D20" s="197">
        <v>108</v>
      </c>
      <c r="E20" s="197">
        <v>9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>
        <v>5</v>
      </c>
      <c r="Q20" s="197"/>
      <c r="R20" s="198">
        <v>930</v>
      </c>
    </row>
    <row r="21" spans="1:18" ht="25.5">
      <c r="A21" s="195">
        <v>17</v>
      </c>
      <c r="B21" s="196" t="s">
        <v>790</v>
      </c>
      <c r="C21" s="197">
        <v>283</v>
      </c>
      <c r="D21" s="197">
        <v>420</v>
      </c>
      <c r="E21" s="197">
        <v>51</v>
      </c>
      <c r="F21" s="197">
        <v>-2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>
        <v>5</v>
      </c>
      <c r="Q21" s="197"/>
      <c r="R21" s="198">
        <v>757</v>
      </c>
    </row>
    <row r="22" spans="1:18" ht="38.25">
      <c r="A22" s="195">
        <v>18</v>
      </c>
      <c r="B22" s="200" t="s">
        <v>791</v>
      </c>
      <c r="C22" s="197">
        <v>560</v>
      </c>
      <c r="D22" s="197">
        <v>260</v>
      </c>
      <c r="E22" s="197">
        <v>15</v>
      </c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>
        <v>5</v>
      </c>
      <c r="Q22" s="197"/>
      <c r="R22" s="198">
        <v>840</v>
      </c>
    </row>
    <row r="23" spans="1:18" ht="25.5">
      <c r="A23" s="195">
        <v>19</v>
      </c>
      <c r="B23" s="199" t="s">
        <v>792</v>
      </c>
      <c r="C23" s="197">
        <v>890</v>
      </c>
      <c r="D23" s="197">
        <v>68</v>
      </c>
      <c r="E23" s="197">
        <v>3</v>
      </c>
      <c r="F23" s="197">
        <v>-2</v>
      </c>
      <c r="G23" s="197"/>
      <c r="H23" s="197"/>
      <c r="I23" s="197"/>
      <c r="J23" s="197">
        <v>30</v>
      </c>
      <c r="K23" s="197"/>
      <c r="L23" s="197"/>
      <c r="M23" s="197"/>
      <c r="N23" s="197"/>
      <c r="O23" s="197"/>
      <c r="P23" s="197">
        <v>5</v>
      </c>
      <c r="Q23" s="197"/>
      <c r="R23" s="198">
        <v>976</v>
      </c>
    </row>
    <row r="24" spans="1:18" ht="25.5">
      <c r="A24" s="195">
        <v>20</v>
      </c>
      <c r="B24" s="196" t="s">
        <v>793</v>
      </c>
      <c r="C24" s="197">
        <v>90</v>
      </c>
      <c r="D24" s="197">
        <v>428</v>
      </c>
      <c r="E24" s="197">
        <v>159</v>
      </c>
      <c r="F24" s="197">
        <v>-2</v>
      </c>
      <c r="G24" s="197">
        <v>-10</v>
      </c>
      <c r="H24" s="197"/>
      <c r="I24" s="197"/>
      <c r="J24" s="197"/>
      <c r="K24" s="197"/>
      <c r="L24" s="197"/>
      <c r="M24" s="197"/>
      <c r="N24" s="197"/>
      <c r="O24" s="197"/>
      <c r="P24" s="197">
        <v>5</v>
      </c>
      <c r="Q24" s="197"/>
      <c r="R24" s="198">
        <v>872</v>
      </c>
    </row>
    <row r="25" spans="1:18" ht="25.5">
      <c r="A25" s="195">
        <v>21</v>
      </c>
      <c r="B25" s="196" t="s">
        <v>794</v>
      </c>
      <c r="C25" s="203">
        <v>885</v>
      </c>
      <c r="D25" s="203">
        <v>128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>
        <v>5</v>
      </c>
      <c r="Q25" s="197"/>
      <c r="R25" s="198">
        <v>1018</v>
      </c>
    </row>
    <row r="26" spans="1:18" ht="25.5">
      <c r="A26" s="195">
        <v>22</v>
      </c>
      <c r="B26" s="196" t="s">
        <v>795</v>
      </c>
      <c r="C26" s="203">
        <v>655</v>
      </c>
      <c r="D26" s="203">
        <v>220</v>
      </c>
      <c r="E26" s="197">
        <v>13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>
        <v>5</v>
      </c>
      <c r="Q26" s="197"/>
      <c r="R26" s="204">
        <v>902</v>
      </c>
    </row>
    <row r="27" spans="1:18" ht="25.5">
      <c r="A27" s="195">
        <v>23</v>
      </c>
      <c r="B27" s="196" t="s">
        <v>796</v>
      </c>
      <c r="C27" s="203">
        <v>355</v>
      </c>
      <c r="D27" s="203">
        <v>448</v>
      </c>
      <c r="E27" s="197">
        <v>69</v>
      </c>
      <c r="F27" s="197">
        <v>-2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>
        <v>5</v>
      </c>
      <c r="Q27" s="197"/>
      <c r="R27" s="198">
        <v>875</v>
      </c>
    </row>
    <row r="28" spans="1:18" ht="25.5">
      <c r="A28" s="195">
        <v>24</v>
      </c>
      <c r="B28" s="196" t="s">
        <v>797</v>
      </c>
      <c r="C28" s="203">
        <v>795</v>
      </c>
      <c r="D28" s="203">
        <v>168</v>
      </c>
      <c r="E28" s="197"/>
      <c r="F28" s="197"/>
      <c r="G28" s="197"/>
      <c r="H28" s="197"/>
      <c r="I28" s="197"/>
      <c r="J28" s="197"/>
      <c r="K28" s="197"/>
      <c r="L28" s="197">
        <v>3</v>
      </c>
      <c r="M28" s="197"/>
      <c r="N28" s="197"/>
      <c r="O28" s="197"/>
      <c r="P28" s="197">
        <v>5</v>
      </c>
      <c r="Q28" s="197"/>
      <c r="R28" s="198">
        <v>971</v>
      </c>
    </row>
    <row r="29" spans="1:18" ht="25.5">
      <c r="A29" s="195">
        <v>25</v>
      </c>
      <c r="B29" s="196" t="s">
        <v>798</v>
      </c>
      <c r="C29" s="203">
        <v>75</v>
      </c>
      <c r="D29" s="203">
        <v>484</v>
      </c>
      <c r="E29" s="197">
        <v>201</v>
      </c>
      <c r="F29" s="197"/>
      <c r="G29" s="197">
        <v>-70</v>
      </c>
      <c r="H29" s="197"/>
      <c r="I29" s="197"/>
      <c r="J29" s="197"/>
      <c r="K29" s="197"/>
      <c r="L29" s="197"/>
      <c r="M29" s="197">
        <v>-5</v>
      </c>
      <c r="N29" s="197"/>
      <c r="O29" s="197"/>
      <c r="P29" s="197">
        <v>5</v>
      </c>
      <c r="Q29" s="197"/>
      <c r="R29" s="198">
        <v>630</v>
      </c>
    </row>
    <row r="30" spans="1:18" ht="51">
      <c r="A30" s="195">
        <v>26</v>
      </c>
      <c r="B30" s="200" t="s">
        <v>799</v>
      </c>
      <c r="C30" s="203">
        <v>285</v>
      </c>
      <c r="D30" s="203">
        <v>468</v>
      </c>
      <c r="E30" s="197">
        <v>135</v>
      </c>
      <c r="F30" s="197"/>
      <c r="G30" s="197">
        <v>-130</v>
      </c>
      <c r="H30" s="197"/>
      <c r="I30" s="197"/>
      <c r="J30" s="197"/>
      <c r="K30" s="197"/>
      <c r="L30" s="197">
        <v>2</v>
      </c>
      <c r="M30" s="197">
        <v>-5</v>
      </c>
      <c r="N30" s="197"/>
      <c r="O30" s="197"/>
      <c r="P30" s="197">
        <v>5</v>
      </c>
      <c r="Q30" s="197"/>
      <c r="R30" s="198">
        <v>760</v>
      </c>
    </row>
    <row r="31" spans="1:18" ht="36">
      <c r="A31" s="195">
        <v>27</v>
      </c>
      <c r="B31" s="205" t="s">
        <v>800</v>
      </c>
      <c r="C31" s="203">
        <v>135</v>
      </c>
      <c r="D31" s="203">
        <v>324</v>
      </c>
      <c r="E31" s="197">
        <v>207</v>
      </c>
      <c r="F31" s="197">
        <v>-2</v>
      </c>
      <c r="G31" s="197">
        <v>-10</v>
      </c>
      <c r="H31" s="197"/>
      <c r="I31" s="197"/>
      <c r="J31" s="197"/>
      <c r="K31" s="197"/>
      <c r="L31" s="197"/>
      <c r="M31" s="197"/>
      <c r="N31" s="197"/>
      <c r="O31" s="197"/>
      <c r="P31" s="197">
        <v>5</v>
      </c>
      <c r="Q31" s="197"/>
      <c r="R31" s="198">
        <v>659</v>
      </c>
    </row>
    <row r="32" spans="1:18" ht="51">
      <c r="A32" s="195">
        <v>28</v>
      </c>
      <c r="B32" s="199" t="s">
        <v>801</v>
      </c>
      <c r="C32" s="203">
        <v>425</v>
      </c>
      <c r="D32" s="203">
        <v>336</v>
      </c>
      <c r="E32" s="197">
        <v>111</v>
      </c>
      <c r="F32" s="197"/>
      <c r="G32" s="197"/>
      <c r="H32" s="197"/>
      <c r="I32" s="197"/>
      <c r="J32" s="197"/>
      <c r="K32" s="197"/>
      <c r="L32" s="197">
        <v>3</v>
      </c>
      <c r="M32" s="197"/>
      <c r="N32" s="197"/>
      <c r="O32" s="197"/>
      <c r="P32" s="197">
        <v>5</v>
      </c>
      <c r="Q32" s="197"/>
      <c r="R32" s="198">
        <v>880</v>
      </c>
    </row>
    <row r="33" spans="1:18" ht="25.5">
      <c r="A33" s="195">
        <v>29</v>
      </c>
      <c r="B33" s="199" t="s">
        <v>802</v>
      </c>
      <c r="C33" s="203">
        <v>560</v>
      </c>
      <c r="D33" s="203">
        <v>228</v>
      </c>
      <c r="E33" s="197">
        <v>42</v>
      </c>
      <c r="F33" s="197"/>
      <c r="G33" s="197"/>
      <c r="H33" s="197"/>
      <c r="I33" s="197"/>
      <c r="J33" s="197"/>
      <c r="K33" s="197"/>
      <c r="L33" s="197">
        <v>3</v>
      </c>
      <c r="M33" s="197"/>
      <c r="N33" s="197"/>
      <c r="O33" s="197"/>
      <c r="P33" s="197">
        <v>5</v>
      </c>
      <c r="Q33" s="197"/>
      <c r="R33" s="198">
        <v>838</v>
      </c>
    </row>
    <row r="34" spans="1:18" ht="38.25">
      <c r="A34" s="206">
        <v>30</v>
      </c>
      <c r="B34" s="199" t="s">
        <v>803</v>
      </c>
      <c r="C34" s="203">
        <v>535</v>
      </c>
      <c r="D34" s="203">
        <v>272</v>
      </c>
      <c r="E34" s="197">
        <v>9</v>
      </c>
      <c r="F34" s="197"/>
      <c r="G34" s="197"/>
      <c r="H34" s="197"/>
      <c r="I34" s="197"/>
      <c r="J34" s="197"/>
      <c r="K34" s="197"/>
      <c r="L34" s="197">
        <v>3</v>
      </c>
      <c r="M34" s="197"/>
      <c r="N34" s="197"/>
      <c r="O34" s="197"/>
      <c r="P34" s="197">
        <v>5</v>
      </c>
      <c r="Q34" s="197"/>
      <c r="R34" s="198">
        <v>828</v>
      </c>
    </row>
    <row r="35" spans="1:18" ht="15">
      <c r="A35" s="207"/>
      <c r="B35" s="208" t="s">
        <v>804</v>
      </c>
      <c r="C35" s="366" t="s">
        <v>805</v>
      </c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207"/>
    </row>
  </sheetData>
  <sheetProtection/>
  <mergeCells count="21">
    <mergeCell ref="M3:M4"/>
    <mergeCell ref="G3:G4"/>
    <mergeCell ref="O3:O4"/>
    <mergeCell ref="P3:P4"/>
    <mergeCell ref="Q3:Q4"/>
    <mergeCell ref="R3:R4"/>
    <mergeCell ref="C35:Q35"/>
    <mergeCell ref="I3:I4"/>
    <mergeCell ref="J3:J4"/>
    <mergeCell ref="K3:K4"/>
    <mergeCell ref="L3:L4"/>
    <mergeCell ref="H3:H4"/>
    <mergeCell ref="N3:N4"/>
    <mergeCell ref="A1:R1"/>
    <mergeCell ref="O2:Q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I3" sqref="I3"/>
    </sheetView>
  </sheetViews>
  <sheetFormatPr defaultColWidth="9.140625" defaultRowHeight="15"/>
  <sheetData>
    <row r="1" spans="7:17" ht="15">
      <c r="G1" s="75" t="s">
        <v>847</v>
      </c>
      <c r="N1" s="367">
        <v>16199</v>
      </c>
      <c r="O1" s="367"/>
      <c r="P1" s="367"/>
      <c r="Q1" s="367"/>
    </row>
    <row r="2" spans="1:17" ht="86.25">
      <c r="A2" s="209"/>
      <c r="B2" s="210" t="s">
        <v>806</v>
      </c>
      <c r="C2" s="211" t="s">
        <v>807</v>
      </c>
      <c r="D2" s="211" t="s">
        <v>808</v>
      </c>
      <c r="E2" s="211" t="s">
        <v>809</v>
      </c>
      <c r="F2" s="211" t="s">
        <v>810</v>
      </c>
      <c r="G2" s="212" t="s">
        <v>11</v>
      </c>
      <c r="H2" s="212" t="s">
        <v>4</v>
      </c>
      <c r="I2" s="212" t="s">
        <v>811</v>
      </c>
      <c r="J2" s="212" t="s">
        <v>812</v>
      </c>
      <c r="K2" s="212" t="s">
        <v>813</v>
      </c>
      <c r="L2" s="213" t="s">
        <v>814</v>
      </c>
      <c r="M2" s="214" t="s">
        <v>815</v>
      </c>
      <c r="N2" s="214" t="s">
        <v>816</v>
      </c>
      <c r="O2" s="214" t="s">
        <v>817</v>
      </c>
      <c r="P2" s="214" t="s">
        <v>818</v>
      </c>
      <c r="Q2" s="215" t="s">
        <v>819</v>
      </c>
    </row>
    <row r="3" spans="1:17" ht="31.5">
      <c r="A3" s="209">
        <v>1</v>
      </c>
      <c r="B3" s="216" t="s">
        <v>820</v>
      </c>
      <c r="C3" s="209">
        <v>310</v>
      </c>
      <c r="D3" s="209">
        <v>400</v>
      </c>
      <c r="E3" s="209">
        <v>18</v>
      </c>
      <c r="F3" s="209"/>
      <c r="G3" s="209">
        <v>-20</v>
      </c>
      <c r="H3" s="209"/>
      <c r="I3" s="209"/>
      <c r="J3" s="209"/>
      <c r="K3" s="209"/>
      <c r="L3" s="209"/>
      <c r="M3" s="209"/>
      <c r="N3" s="209"/>
      <c r="O3" s="209"/>
      <c r="P3" s="209"/>
      <c r="Q3" s="74">
        <f aca="true" t="shared" si="0" ref="Q3:Q29">SUM(C3:P3)</f>
        <v>708</v>
      </c>
    </row>
    <row r="4" spans="1:17" ht="31.5">
      <c r="A4" s="209">
        <v>2</v>
      </c>
      <c r="B4" s="216" t="s">
        <v>821</v>
      </c>
      <c r="C4" s="209">
        <v>175</v>
      </c>
      <c r="D4" s="209">
        <v>396</v>
      </c>
      <c r="E4" s="209">
        <v>33</v>
      </c>
      <c r="F4" s="209"/>
      <c r="G4" s="209">
        <v>-20</v>
      </c>
      <c r="H4" s="209"/>
      <c r="I4" s="209"/>
      <c r="J4" s="209"/>
      <c r="K4" s="209"/>
      <c r="L4" s="209"/>
      <c r="M4" s="209"/>
      <c r="N4" s="209"/>
      <c r="O4" s="209"/>
      <c r="P4" s="209"/>
      <c r="Q4" s="74">
        <f t="shared" si="0"/>
        <v>584</v>
      </c>
    </row>
    <row r="5" spans="1:17" ht="47.25">
      <c r="A5" s="209">
        <v>3</v>
      </c>
      <c r="B5" s="216" t="s">
        <v>822</v>
      </c>
      <c r="C5" s="209">
        <v>415</v>
      </c>
      <c r="D5" s="209">
        <v>304</v>
      </c>
      <c r="E5" s="209">
        <v>21</v>
      </c>
      <c r="F5" s="209"/>
      <c r="G5" s="209">
        <v>-10</v>
      </c>
      <c r="H5" s="209"/>
      <c r="I5" s="209"/>
      <c r="J5" s="209"/>
      <c r="K5" s="209"/>
      <c r="L5" s="209"/>
      <c r="M5" s="209"/>
      <c r="N5" s="209"/>
      <c r="O5" s="209"/>
      <c r="P5" s="209"/>
      <c r="Q5" s="74">
        <f t="shared" si="0"/>
        <v>730</v>
      </c>
    </row>
    <row r="6" spans="1:17" ht="31.5">
      <c r="A6" s="209">
        <v>4</v>
      </c>
      <c r="B6" s="216" t="s">
        <v>823</v>
      </c>
      <c r="C6" s="209">
        <v>490</v>
      </c>
      <c r="D6" s="209">
        <v>304</v>
      </c>
      <c r="E6" s="209">
        <v>12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74">
        <f t="shared" si="0"/>
        <v>806</v>
      </c>
    </row>
    <row r="7" spans="1:17" ht="31.5">
      <c r="A7" s="209">
        <v>5</v>
      </c>
      <c r="B7" s="216" t="s">
        <v>824</v>
      </c>
      <c r="C7" s="209">
        <v>490</v>
      </c>
      <c r="D7" s="209">
        <v>220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74">
        <f t="shared" si="0"/>
        <v>710</v>
      </c>
    </row>
    <row r="8" spans="1:17" ht="31.5">
      <c r="A8" s="209">
        <v>6</v>
      </c>
      <c r="B8" s="216" t="s">
        <v>825</v>
      </c>
      <c r="C8" s="209">
        <v>320</v>
      </c>
      <c r="D8" s="209">
        <v>336</v>
      </c>
      <c r="E8" s="209">
        <v>18</v>
      </c>
      <c r="F8" s="209"/>
      <c r="G8" s="209">
        <v>-10</v>
      </c>
      <c r="H8" s="209"/>
      <c r="I8" s="209"/>
      <c r="J8" s="209"/>
      <c r="K8" s="209"/>
      <c r="L8" s="209"/>
      <c r="M8" s="209"/>
      <c r="N8" s="209"/>
      <c r="O8" s="209"/>
      <c r="P8" s="209"/>
      <c r="Q8" s="74">
        <f t="shared" si="0"/>
        <v>664</v>
      </c>
    </row>
    <row r="9" spans="1:17" ht="31.5">
      <c r="A9" s="209">
        <v>7</v>
      </c>
      <c r="B9" s="216" t="s">
        <v>826</v>
      </c>
      <c r="C9" s="209">
        <v>295</v>
      </c>
      <c r="D9" s="209">
        <v>336</v>
      </c>
      <c r="E9" s="209">
        <v>3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74">
        <f t="shared" si="0"/>
        <v>634</v>
      </c>
    </row>
    <row r="10" spans="1:17" ht="15.75">
      <c r="A10" s="217">
        <v>8</v>
      </c>
      <c r="B10" s="218" t="s">
        <v>827</v>
      </c>
      <c r="C10" s="209">
        <v>640</v>
      </c>
      <c r="D10" s="209">
        <v>88</v>
      </c>
      <c r="E10" s="209">
        <v>3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74">
        <f t="shared" si="0"/>
        <v>731</v>
      </c>
    </row>
    <row r="11" spans="1:17" ht="15.75">
      <c r="A11" s="209">
        <v>9</v>
      </c>
      <c r="B11" s="218" t="s">
        <v>828</v>
      </c>
      <c r="C11" s="209">
        <v>515</v>
      </c>
      <c r="D11" s="209">
        <v>232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74">
        <f t="shared" si="0"/>
        <v>747</v>
      </c>
    </row>
    <row r="12" spans="1:17" ht="47.25">
      <c r="A12" s="209">
        <v>10</v>
      </c>
      <c r="B12" s="216" t="s">
        <v>829</v>
      </c>
      <c r="C12" s="209">
        <v>505</v>
      </c>
      <c r="D12" s="209">
        <v>184</v>
      </c>
      <c r="E12" s="209"/>
      <c r="F12" s="209"/>
      <c r="G12" s="209">
        <v>-20</v>
      </c>
      <c r="H12" s="209"/>
      <c r="I12" s="209"/>
      <c r="J12" s="209"/>
      <c r="K12" s="209"/>
      <c r="L12" s="209"/>
      <c r="M12" s="209"/>
      <c r="N12" s="209"/>
      <c r="O12" s="209"/>
      <c r="P12" s="209"/>
      <c r="Q12" s="74">
        <f t="shared" si="0"/>
        <v>669</v>
      </c>
    </row>
    <row r="13" spans="1:17" ht="31.5">
      <c r="A13" s="209">
        <v>11</v>
      </c>
      <c r="B13" s="216" t="s">
        <v>830</v>
      </c>
      <c r="C13" s="209">
        <v>560</v>
      </c>
      <c r="D13" s="209">
        <v>176</v>
      </c>
      <c r="E13" s="209">
        <v>12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74">
        <f t="shared" si="0"/>
        <v>748</v>
      </c>
    </row>
    <row r="14" spans="1:17" ht="47.25">
      <c r="A14" s="209">
        <v>12</v>
      </c>
      <c r="B14" s="216" t="s">
        <v>831</v>
      </c>
      <c r="C14" s="209">
        <v>610</v>
      </c>
      <c r="D14" s="209">
        <v>88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74">
        <f t="shared" si="0"/>
        <v>698</v>
      </c>
    </row>
    <row r="15" spans="1:17" ht="31.5">
      <c r="A15" s="209">
        <v>13</v>
      </c>
      <c r="B15" s="216" t="s">
        <v>832</v>
      </c>
      <c r="C15" s="209">
        <v>645</v>
      </c>
      <c r="D15" s="209">
        <v>68</v>
      </c>
      <c r="E15" s="209"/>
      <c r="F15" s="209"/>
      <c r="G15" s="209">
        <v>-10</v>
      </c>
      <c r="H15" s="209"/>
      <c r="I15" s="209"/>
      <c r="J15" s="209"/>
      <c r="K15" s="209"/>
      <c r="L15" s="209"/>
      <c r="M15" s="209"/>
      <c r="N15" s="209"/>
      <c r="O15" s="209"/>
      <c r="P15" s="209"/>
      <c r="Q15" s="74">
        <f t="shared" si="0"/>
        <v>703</v>
      </c>
    </row>
    <row r="16" spans="1:17" ht="31.5">
      <c r="A16" s="209">
        <v>14</v>
      </c>
      <c r="B16" s="216" t="s">
        <v>833</v>
      </c>
      <c r="C16" s="209">
        <v>630</v>
      </c>
      <c r="D16" s="209">
        <v>76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74">
        <f t="shared" si="0"/>
        <v>706</v>
      </c>
    </row>
    <row r="17" spans="1:17" ht="47.25">
      <c r="A17" s="209">
        <v>15</v>
      </c>
      <c r="B17" s="216" t="s">
        <v>834</v>
      </c>
      <c r="C17" s="209">
        <v>635</v>
      </c>
      <c r="D17" s="209">
        <v>92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74">
        <f t="shared" si="0"/>
        <v>727</v>
      </c>
    </row>
    <row r="18" spans="1:17" ht="47.25">
      <c r="A18" s="209">
        <v>16</v>
      </c>
      <c r="B18" s="216" t="s">
        <v>835</v>
      </c>
      <c r="C18" s="209">
        <v>595</v>
      </c>
      <c r="D18" s="209">
        <v>108</v>
      </c>
      <c r="E18" s="209">
        <v>3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74">
        <f t="shared" si="0"/>
        <v>706</v>
      </c>
    </row>
    <row r="19" spans="1:17" ht="31.5">
      <c r="A19" s="209">
        <v>17</v>
      </c>
      <c r="B19" s="216" t="s">
        <v>836</v>
      </c>
      <c r="C19" s="209">
        <v>435</v>
      </c>
      <c r="D19" s="209">
        <v>264</v>
      </c>
      <c r="E19" s="209">
        <v>3</v>
      </c>
      <c r="F19" s="209"/>
      <c r="G19" s="209">
        <v>-10</v>
      </c>
      <c r="H19" s="209"/>
      <c r="I19" s="209"/>
      <c r="J19" s="209"/>
      <c r="K19" s="209"/>
      <c r="L19" s="209"/>
      <c r="M19" s="209"/>
      <c r="N19" s="209"/>
      <c r="O19" s="209"/>
      <c r="P19" s="209"/>
      <c r="Q19" s="74">
        <f t="shared" si="0"/>
        <v>692</v>
      </c>
    </row>
    <row r="20" spans="1:17" ht="47.25">
      <c r="A20" s="209">
        <v>18</v>
      </c>
      <c r="B20" s="216" t="s">
        <v>837</v>
      </c>
      <c r="C20" s="209">
        <v>625</v>
      </c>
      <c r="D20" s="209">
        <v>128</v>
      </c>
      <c r="E20" s="209"/>
      <c r="F20" s="209"/>
      <c r="G20" s="209">
        <v>-10</v>
      </c>
      <c r="H20" s="209"/>
      <c r="I20" s="209"/>
      <c r="J20" s="209"/>
      <c r="K20" s="209"/>
      <c r="L20" s="209"/>
      <c r="M20" s="209"/>
      <c r="N20" s="209"/>
      <c r="O20" s="209"/>
      <c r="P20" s="209"/>
      <c r="Q20" s="74">
        <f t="shared" si="0"/>
        <v>743</v>
      </c>
    </row>
    <row r="21" spans="1:17" ht="47.25">
      <c r="A21" s="209">
        <v>19</v>
      </c>
      <c r="B21" s="216" t="s">
        <v>838</v>
      </c>
      <c r="C21" s="209">
        <v>595</v>
      </c>
      <c r="D21" s="209">
        <v>116</v>
      </c>
      <c r="E21" s="209">
        <v>3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74">
        <f t="shared" si="0"/>
        <v>714</v>
      </c>
    </row>
    <row r="22" spans="1:17" ht="47.25">
      <c r="A22" s="209">
        <v>20</v>
      </c>
      <c r="B22" s="216" t="s">
        <v>839</v>
      </c>
      <c r="C22" s="209">
        <v>415</v>
      </c>
      <c r="D22" s="209">
        <v>256</v>
      </c>
      <c r="E22" s="209">
        <v>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74">
        <f t="shared" si="0"/>
        <v>674</v>
      </c>
    </row>
    <row r="23" spans="1:17" ht="47.25">
      <c r="A23" s="209">
        <v>21</v>
      </c>
      <c r="B23" s="216" t="s">
        <v>840</v>
      </c>
      <c r="C23" s="209">
        <v>585</v>
      </c>
      <c r="D23" s="209">
        <v>88</v>
      </c>
      <c r="E23" s="209">
        <v>3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74">
        <f t="shared" si="0"/>
        <v>676</v>
      </c>
    </row>
    <row r="24" spans="1:17" ht="31.5">
      <c r="A24" s="209">
        <v>22</v>
      </c>
      <c r="B24" s="216" t="s">
        <v>841</v>
      </c>
      <c r="C24" s="209">
        <v>565</v>
      </c>
      <c r="D24" s="209">
        <v>132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74">
        <f t="shared" si="0"/>
        <v>697</v>
      </c>
    </row>
    <row r="25" spans="1:17" ht="31.5">
      <c r="A25" s="209">
        <v>23</v>
      </c>
      <c r="B25" s="216" t="s">
        <v>842</v>
      </c>
      <c r="C25" s="209">
        <v>605</v>
      </c>
      <c r="D25" s="209">
        <v>80</v>
      </c>
      <c r="E25" s="209"/>
      <c r="F25" s="209"/>
      <c r="G25" s="209">
        <v>-10</v>
      </c>
      <c r="H25" s="209"/>
      <c r="I25" s="209"/>
      <c r="J25" s="209"/>
      <c r="K25" s="209"/>
      <c r="L25" s="209"/>
      <c r="M25" s="209"/>
      <c r="N25" s="209"/>
      <c r="O25" s="209"/>
      <c r="P25" s="209"/>
      <c r="Q25" s="74">
        <f t="shared" si="0"/>
        <v>675</v>
      </c>
    </row>
    <row r="26" spans="1:17" ht="47.25">
      <c r="A26" s="209">
        <v>24</v>
      </c>
      <c r="B26" s="216" t="s">
        <v>843</v>
      </c>
      <c r="C26" s="209">
        <v>535</v>
      </c>
      <c r="D26" s="209">
        <v>120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74">
        <f t="shared" si="0"/>
        <v>655</v>
      </c>
    </row>
    <row r="27" spans="1:17" ht="47.25">
      <c r="A27" s="209">
        <v>25</v>
      </c>
      <c r="B27" s="216" t="s">
        <v>844</v>
      </c>
      <c r="C27" s="209">
        <v>570</v>
      </c>
      <c r="D27" s="209">
        <v>124</v>
      </c>
      <c r="E27" s="209">
        <v>3</v>
      </c>
      <c r="F27" s="209"/>
      <c r="G27" s="209">
        <v>-50</v>
      </c>
      <c r="H27" s="209"/>
      <c r="I27" s="209"/>
      <c r="J27" s="209"/>
      <c r="K27" s="209"/>
      <c r="L27" s="209"/>
      <c r="M27" s="209"/>
      <c r="N27" s="209"/>
      <c r="O27" s="209"/>
      <c r="P27" s="209"/>
      <c r="Q27" s="74">
        <f t="shared" si="0"/>
        <v>647</v>
      </c>
    </row>
    <row r="28" spans="1:17" ht="47.25">
      <c r="A28" s="209">
        <v>26</v>
      </c>
      <c r="B28" s="216" t="s">
        <v>845</v>
      </c>
      <c r="C28" s="209">
        <v>595</v>
      </c>
      <c r="D28" s="209">
        <v>116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74">
        <f t="shared" si="0"/>
        <v>711</v>
      </c>
    </row>
    <row r="29" spans="2:17" ht="15">
      <c r="B29" s="219" t="s">
        <v>846</v>
      </c>
      <c r="C29" s="217">
        <v>13355</v>
      </c>
      <c r="D29" s="217">
        <v>1060</v>
      </c>
      <c r="E29">
        <v>1954</v>
      </c>
      <c r="G29">
        <v>-170</v>
      </c>
      <c r="H29">
        <v>0</v>
      </c>
      <c r="Q29" s="220">
        <f t="shared" si="0"/>
        <v>16199</v>
      </c>
    </row>
  </sheetData>
  <sheetProtection/>
  <mergeCells count="1">
    <mergeCell ref="N1:Q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" sqref="A1:R29"/>
    </sheetView>
  </sheetViews>
  <sheetFormatPr defaultColWidth="9.140625" defaultRowHeight="15"/>
  <sheetData>
    <row r="1" spans="1:18" ht="15">
      <c r="A1" s="368" t="s">
        <v>848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ht="15">
      <c r="A2" s="221"/>
      <c r="B2" s="221"/>
      <c r="C2" s="221"/>
      <c r="D2" s="221"/>
      <c r="E2" s="221"/>
      <c r="F2" s="221"/>
      <c r="G2" s="222"/>
      <c r="H2" s="222"/>
      <c r="I2" s="222"/>
      <c r="J2" s="222"/>
      <c r="K2" s="222"/>
      <c r="L2" s="222"/>
      <c r="M2" s="222"/>
      <c r="N2" s="222"/>
      <c r="O2" s="223" t="s">
        <v>0</v>
      </c>
      <c r="P2" s="223"/>
      <c r="Q2" s="223"/>
      <c r="R2" s="223">
        <v>15214</v>
      </c>
    </row>
    <row r="3" spans="1:18" ht="77.25">
      <c r="A3" s="370" t="s">
        <v>1</v>
      </c>
      <c r="B3" s="370" t="s">
        <v>2</v>
      </c>
      <c r="C3" s="371" t="s">
        <v>7</v>
      </c>
      <c r="D3" s="371" t="s">
        <v>8</v>
      </c>
      <c r="E3" s="371" t="s">
        <v>9</v>
      </c>
      <c r="F3" s="371" t="s">
        <v>10</v>
      </c>
      <c r="G3" s="371" t="s">
        <v>11</v>
      </c>
      <c r="H3" s="371" t="s">
        <v>4</v>
      </c>
      <c r="I3" s="371" t="s">
        <v>12</v>
      </c>
      <c r="J3" s="371" t="s">
        <v>13</v>
      </c>
      <c r="K3" s="371" t="s">
        <v>14</v>
      </c>
      <c r="L3" s="371" t="s">
        <v>15</v>
      </c>
      <c r="M3" s="371" t="s">
        <v>16</v>
      </c>
      <c r="N3" s="371" t="s">
        <v>17</v>
      </c>
      <c r="O3" s="371" t="s">
        <v>5</v>
      </c>
      <c r="P3" s="224" t="s">
        <v>18</v>
      </c>
      <c r="Q3" s="371" t="s">
        <v>6</v>
      </c>
      <c r="R3" s="373" t="s">
        <v>3</v>
      </c>
    </row>
    <row r="4" spans="1:18" ht="15">
      <c r="A4" s="370"/>
      <c r="B4" s="370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225"/>
      <c r="Q4" s="372"/>
      <c r="R4" s="373"/>
    </row>
    <row r="5" spans="1:18" ht="36">
      <c r="A5" s="226">
        <v>1</v>
      </c>
      <c r="B5" s="205" t="s">
        <v>849</v>
      </c>
      <c r="C5" s="205">
        <v>480</v>
      </c>
      <c r="D5" s="205">
        <v>240</v>
      </c>
      <c r="E5" s="205">
        <v>12</v>
      </c>
      <c r="F5" s="205">
        <v>-2</v>
      </c>
      <c r="G5" s="205"/>
      <c r="H5" s="226"/>
      <c r="I5" s="226"/>
      <c r="J5" s="227"/>
      <c r="K5" s="227"/>
      <c r="L5" s="227"/>
      <c r="M5" s="225">
        <v>3</v>
      </c>
      <c r="N5" s="227"/>
      <c r="O5" s="227"/>
      <c r="P5" s="227">
        <v>5</v>
      </c>
      <c r="Q5" s="227">
        <v>2</v>
      </c>
      <c r="R5" s="225">
        <v>740</v>
      </c>
    </row>
    <row r="6" spans="1:18" ht="24">
      <c r="A6" s="226">
        <v>2</v>
      </c>
      <c r="B6" s="205" t="s">
        <v>850</v>
      </c>
      <c r="C6" s="205">
        <v>185</v>
      </c>
      <c r="D6" s="205">
        <v>312</v>
      </c>
      <c r="E6" s="205">
        <v>33</v>
      </c>
      <c r="F6" s="205">
        <v>-10</v>
      </c>
      <c r="G6" s="205"/>
      <c r="H6" s="226"/>
      <c r="I6" s="226"/>
      <c r="J6" s="225"/>
      <c r="K6" s="225"/>
      <c r="L6" s="225"/>
      <c r="M6" s="225"/>
      <c r="N6" s="225"/>
      <c r="O6" s="225"/>
      <c r="P6" s="225">
        <v>5</v>
      </c>
      <c r="Q6" s="225">
        <v>2</v>
      </c>
      <c r="R6" s="225">
        <v>527</v>
      </c>
    </row>
    <row r="7" spans="1:18" ht="24">
      <c r="A7" s="226">
        <v>3</v>
      </c>
      <c r="B7" s="205" t="s">
        <v>851</v>
      </c>
      <c r="C7" s="205">
        <v>175</v>
      </c>
      <c r="D7" s="205">
        <v>268</v>
      </c>
      <c r="E7" s="205">
        <v>66</v>
      </c>
      <c r="F7" s="205">
        <v>-14</v>
      </c>
      <c r="G7" s="205">
        <v>-10</v>
      </c>
      <c r="H7" s="226"/>
      <c r="I7" s="226"/>
      <c r="J7" s="225"/>
      <c r="K7" s="225"/>
      <c r="L7" s="225"/>
      <c r="M7" s="225"/>
      <c r="N7" s="225"/>
      <c r="O7" s="225"/>
      <c r="P7" s="225">
        <v>5</v>
      </c>
      <c r="Q7" s="225">
        <v>2</v>
      </c>
      <c r="R7" s="225">
        <v>492</v>
      </c>
    </row>
    <row r="8" spans="1:18" ht="24">
      <c r="A8" s="226">
        <v>4</v>
      </c>
      <c r="B8" s="205" t="s">
        <v>852</v>
      </c>
      <c r="C8" s="205">
        <v>245</v>
      </c>
      <c r="D8" s="205">
        <v>324</v>
      </c>
      <c r="E8" s="205">
        <v>6</v>
      </c>
      <c r="F8" s="205">
        <v>0</v>
      </c>
      <c r="G8" s="205">
        <v>-20</v>
      </c>
      <c r="H8" s="226"/>
      <c r="I8" s="226"/>
      <c r="J8" s="225"/>
      <c r="K8" s="225">
        <v>5</v>
      </c>
      <c r="L8" s="225"/>
      <c r="M8" s="225">
        <v>3</v>
      </c>
      <c r="N8" s="225"/>
      <c r="O8" s="225"/>
      <c r="P8" s="225">
        <v>5</v>
      </c>
      <c r="Q8" s="225">
        <v>2</v>
      </c>
      <c r="R8" s="225">
        <v>570</v>
      </c>
    </row>
    <row r="9" spans="1:18" ht="24">
      <c r="A9" s="226">
        <v>5</v>
      </c>
      <c r="B9" s="205" t="s">
        <v>853</v>
      </c>
      <c r="C9" s="205">
        <v>200</v>
      </c>
      <c r="D9" s="205">
        <v>320</v>
      </c>
      <c r="E9" s="205">
        <v>63</v>
      </c>
      <c r="F9" s="205">
        <v>0</v>
      </c>
      <c r="G9" s="205"/>
      <c r="H9" s="226"/>
      <c r="I9" s="226"/>
      <c r="J9" s="225"/>
      <c r="K9" s="225"/>
      <c r="L9" s="225"/>
      <c r="M9" s="225"/>
      <c r="N9" s="225"/>
      <c r="O9" s="225"/>
      <c r="P9" s="225">
        <v>5</v>
      </c>
      <c r="Q9" s="225">
        <v>2</v>
      </c>
      <c r="R9" s="225">
        <v>590</v>
      </c>
    </row>
    <row r="10" spans="1:18" ht="24">
      <c r="A10" s="226">
        <v>6</v>
      </c>
      <c r="B10" s="205" t="s">
        <v>854</v>
      </c>
      <c r="C10" s="205">
        <v>80</v>
      </c>
      <c r="D10" s="205">
        <v>248</v>
      </c>
      <c r="E10" s="205">
        <v>57</v>
      </c>
      <c r="F10" s="205">
        <v>-12</v>
      </c>
      <c r="G10" s="205"/>
      <c r="H10" s="226"/>
      <c r="I10" s="226"/>
      <c r="J10" s="225"/>
      <c r="K10" s="225"/>
      <c r="L10" s="225"/>
      <c r="M10" s="225"/>
      <c r="N10" s="225"/>
      <c r="O10" s="225"/>
      <c r="P10" s="225">
        <v>5</v>
      </c>
      <c r="Q10" s="225">
        <v>2</v>
      </c>
      <c r="R10" s="225">
        <v>380</v>
      </c>
    </row>
    <row r="11" spans="1:18" ht="24">
      <c r="A11" s="226">
        <v>7</v>
      </c>
      <c r="B11" s="205" t="s">
        <v>855</v>
      </c>
      <c r="C11" s="205">
        <v>415</v>
      </c>
      <c r="D11" s="205">
        <v>236</v>
      </c>
      <c r="E11" s="205">
        <v>21</v>
      </c>
      <c r="F11" s="205">
        <v>0</v>
      </c>
      <c r="G11" s="205"/>
      <c r="H11" s="226"/>
      <c r="I11" s="226"/>
      <c r="J11" s="225"/>
      <c r="K11" s="225"/>
      <c r="L11" s="225">
        <v>5</v>
      </c>
      <c r="M11" s="225">
        <v>3</v>
      </c>
      <c r="N11" s="225"/>
      <c r="O11" s="225"/>
      <c r="P11" s="225">
        <v>5</v>
      </c>
      <c r="Q11" s="225">
        <v>2</v>
      </c>
      <c r="R11" s="225">
        <v>687</v>
      </c>
    </row>
    <row r="12" spans="1:18" ht="24">
      <c r="A12" s="226">
        <v>8</v>
      </c>
      <c r="B12" s="205" t="s">
        <v>856</v>
      </c>
      <c r="C12" s="205">
        <v>355</v>
      </c>
      <c r="D12" s="205">
        <v>276</v>
      </c>
      <c r="E12" s="205">
        <v>33</v>
      </c>
      <c r="F12" s="205">
        <v>-2</v>
      </c>
      <c r="G12" s="205"/>
      <c r="H12" s="226"/>
      <c r="I12" s="226"/>
      <c r="J12" s="225"/>
      <c r="K12" s="225"/>
      <c r="L12" s="225">
        <v>5</v>
      </c>
      <c r="M12" s="225">
        <v>3</v>
      </c>
      <c r="N12" s="225"/>
      <c r="O12" s="225"/>
      <c r="P12" s="225">
        <v>5</v>
      </c>
      <c r="Q12" s="225">
        <v>2</v>
      </c>
      <c r="R12" s="225">
        <v>677</v>
      </c>
    </row>
    <row r="13" spans="1:18" ht="24">
      <c r="A13" s="226">
        <v>9</v>
      </c>
      <c r="B13" s="205" t="s">
        <v>857</v>
      </c>
      <c r="C13" s="205">
        <v>365</v>
      </c>
      <c r="D13" s="205">
        <v>448</v>
      </c>
      <c r="E13" s="205">
        <v>24</v>
      </c>
      <c r="F13" s="205">
        <v>0</v>
      </c>
      <c r="G13" s="205"/>
      <c r="H13" s="226"/>
      <c r="I13" s="226"/>
      <c r="J13" s="225"/>
      <c r="K13" s="225"/>
      <c r="L13" s="225"/>
      <c r="M13" s="225"/>
      <c r="N13" s="225"/>
      <c r="O13" s="225"/>
      <c r="P13" s="225">
        <v>5</v>
      </c>
      <c r="Q13" s="225">
        <v>2</v>
      </c>
      <c r="R13" s="225">
        <v>844</v>
      </c>
    </row>
    <row r="14" spans="1:18" ht="24">
      <c r="A14" s="226">
        <v>10</v>
      </c>
      <c r="B14" s="205" t="s">
        <v>858</v>
      </c>
      <c r="C14" s="205">
        <v>295</v>
      </c>
      <c r="D14" s="205">
        <v>272</v>
      </c>
      <c r="E14" s="205">
        <v>33</v>
      </c>
      <c r="F14" s="205">
        <v>0</v>
      </c>
      <c r="G14" s="205"/>
      <c r="H14" s="226">
        <v>5</v>
      </c>
      <c r="I14" s="226"/>
      <c r="J14" s="225"/>
      <c r="K14" s="225"/>
      <c r="L14" s="225"/>
      <c r="M14" s="225"/>
      <c r="N14" s="225"/>
      <c r="O14" s="225"/>
      <c r="P14" s="225">
        <v>5</v>
      </c>
      <c r="Q14" s="225">
        <v>2</v>
      </c>
      <c r="R14" s="225">
        <v>612</v>
      </c>
    </row>
    <row r="15" spans="1:18" ht="24">
      <c r="A15" s="226">
        <v>11</v>
      </c>
      <c r="B15" s="205" t="s">
        <v>859</v>
      </c>
      <c r="C15" s="205">
        <v>300</v>
      </c>
      <c r="D15" s="205">
        <v>340</v>
      </c>
      <c r="E15" s="205">
        <v>51</v>
      </c>
      <c r="F15" s="205">
        <v>-6</v>
      </c>
      <c r="G15" s="205"/>
      <c r="H15" s="226"/>
      <c r="I15" s="226"/>
      <c r="J15" s="225"/>
      <c r="K15" s="225">
        <v>5</v>
      </c>
      <c r="L15" s="225"/>
      <c r="M15" s="225"/>
      <c r="N15" s="225"/>
      <c r="O15" s="225"/>
      <c r="P15" s="225">
        <v>5</v>
      </c>
      <c r="Q15" s="225">
        <v>2</v>
      </c>
      <c r="R15" s="225">
        <v>697</v>
      </c>
    </row>
    <row r="16" spans="1:18" ht="36">
      <c r="A16" s="226">
        <v>12</v>
      </c>
      <c r="B16" s="205" t="s">
        <v>860</v>
      </c>
      <c r="C16" s="205">
        <v>205</v>
      </c>
      <c r="D16" s="205">
        <v>272</v>
      </c>
      <c r="E16" s="205">
        <v>66</v>
      </c>
      <c r="F16" s="205">
        <v>-10</v>
      </c>
      <c r="G16" s="205"/>
      <c r="H16" s="226"/>
      <c r="I16" s="226"/>
      <c r="J16" s="225"/>
      <c r="K16" s="225"/>
      <c r="L16" s="225"/>
      <c r="M16" s="225"/>
      <c r="N16" s="225"/>
      <c r="O16" s="225"/>
      <c r="P16" s="225">
        <v>5</v>
      </c>
      <c r="Q16" s="225">
        <v>2</v>
      </c>
      <c r="R16" s="225">
        <v>540</v>
      </c>
    </row>
    <row r="17" spans="1:18" ht="36">
      <c r="A17" s="226">
        <v>13</v>
      </c>
      <c r="B17" s="205" t="s">
        <v>861</v>
      </c>
      <c r="C17" s="205">
        <v>390</v>
      </c>
      <c r="D17" s="205">
        <v>156</v>
      </c>
      <c r="E17" s="205">
        <v>15</v>
      </c>
      <c r="F17" s="205">
        <v>-2</v>
      </c>
      <c r="G17" s="205"/>
      <c r="H17" s="226"/>
      <c r="I17" s="226"/>
      <c r="J17" s="225">
        <v>20</v>
      </c>
      <c r="K17" s="225">
        <v>5</v>
      </c>
      <c r="L17" s="225">
        <v>5</v>
      </c>
      <c r="M17" s="225"/>
      <c r="N17" s="225"/>
      <c r="O17" s="225">
        <v>5</v>
      </c>
      <c r="P17" s="225">
        <v>5</v>
      </c>
      <c r="Q17" s="225">
        <v>2</v>
      </c>
      <c r="R17" s="225">
        <v>591</v>
      </c>
    </row>
    <row r="18" spans="1:18" ht="36">
      <c r="A18" s="226">
        <v>14</v>
      </c>
      <c r="B18" s="205" t="s">
        <v>862</v>
      </c>
      <c r="C18" s="205">
        <v>400</v>
      </c>
      <c r="D18" s="205">
        <v>148</v>
      </c>
      <c r="E18" s="205">
        <v>15</v>
      </c>
      <c r="F18" s="205">
        <v>-2</v>
      </c>
      <c r="G18" s="205"/>
      <c r="H18" s="226"/>
      <c r="I18" s="226"/>
      <c r="J18" s="225"/>
      <c r="K18" s="225"/>
      <c r="L18" s="225">
        <v>5</v>
      </c>
      <c r="M18" s="225"/>
      <c r="N18" s="225"/>
      <c r="O18" s="225"/>
      <c r="P18" s="225">
        <v>5</v>
      </c>
      <c r="Q18" s="225">
        <v>2</v>
      </c>
      <c r="R18" s="225">
        <v>573</v>
      </c>
    </row>
    <row r="19" spans="1:18" ht="24">
      <c r="A19" s="226">
        <v>15</v>
      </c>
      <c r="B19" s="205" t="s">
        <v>863</v>
      </c>
      <c r="C19" s="205">
        <v>545</v>
      </c>
      <c r="D19" s="205">
        <v>88</v>
      </c>
      <c r="E19" s="205">
        <v>6</v>
      </c>
      <c r="F19" s="205">
        <v>-2</v>
      </c>
      <c r="G19" s="205"/>
      <c r="H19" s="226"/>
      <c r="I19" s="226"/>
      <c r="J19" s="225"/>
      <c r="K19" s="225"/>
      <c r="L19" s="225">
        <v>5</v>
      </c>
      <c r="M19" s="225">
        <v>3</v>
      </c>
      <c r="N19" s="225"/>
      <c r="O19" s="225"/>
      <c r="P19" s="225">
        <v>5</v>
      </c>
      <c r="Q19" s="225">
        <v>2</v>
      </c>
      <c r="R19" s="225">
        <v>652</v>
      </c>
    </row>
    <row r="20" spans="1:18" ht="24">
      <c r="A20" s="226">
        <v>16</v>
      </c>
      <c r="B20" s="205" t="s">
        <v>864</v>
      </c>
      <c r="C20" s="205">
        <v>220</v>
      </c>
      <c r="D20" s="205">
        <v>164</v>
      </c>
      <c r="E20" s="205">
        <v>63</v>
      </c>
      <c r="F20" s="205">
        <v>-16</v>
      </c>
      <c r="G20" s="205"/>
      <c r="H20" s="226"/>
      <c r="I20" s="226"/>
      <c r="J20" s="225"/>
      <c r="K20" s="225"/>
      <c r="L20" s="225"/>
      <c r="M20" s="225"/>
      <c r="N20" s="225"/>
      <c r="O20" s="225">
        <v>5</v>
      </c>
      <c r="P20" s="225">
        <v>5</v>
      </c>
      <c r="Q20" s="225">
        <v>2</v>
      </c>
      <c r="R20" s="225">
        <v>443</v>
      </c>
    </row>
    <row r="21" spans="1:18" ht="24">
      <c r="A21" s="226">
        <v>17</v>
      </c>
      <c r="B21" s="205" t="s">
        <v>865</v>
      </c>
      <c r="C21" s="205">
        <v>525</v>
      </c>
      <c r="D21" s="205">
        <v>212</v>
      </c>
      <c r="E21" s="205">
        <v>24</v>
      </c>
      <c r="F21" s="205">
        <v>0</v>
      </c>
      <c r="G21" s="205"/>
      <c r="H21" s="226"/>
      <c r="I21" s="226"/>
      <c r="J21" s="225"/>
      <c r="K21" s="225"/>
      <c r="L21" s="225"/>
      <c r="M21" s="225"/>
      <c r="N21" s="225"/>
      <c r="O21" s="225"/>
      <c r="P21" s="225">
        <v>5</v>
      </c>
      <c r="Q21" s="225">
        <v>2</v>
      </c>
      <c r="R21" s="225">
        <v>768</v>
      </c>
    </row>
    <row r="22" spans="1:18" ht="24">
      <c r="A22" s="226">
        <v>18</v>
      </c>
      <c r="B22" s="205" t="s">
        <v>866</v>
      </c>
      <c r="C22" s="205">
        <v>250</v>
      </c>
      <c r="D22" s="205">
        <v>352</v>
      </c>
      <c r="E22" s="205">
        <v>54</v>
      </c>
      <c r="F22" s="205">
        <v>-8</v>
      </c>
      <c r="G22" s="205"/>
      <c r="H22" s="226"/>
      <c r="I22" s="226"/>
      <c r="J22" s="225"/>
      <c r="K22" s="225"/>
      <c r="L22" s="225"/>
      <c r="M22" s="225"/>
      <c r="N22" s="225"/>
      <c r="O22" s="225"/>
      <c r="P22" s="225">
        <v>5</v>
      </c>
      <c r="Q22" s="225">
        <v>2</v>
      </c>
      <c r="R22" s="225">
        <v>655</v>
      </c>
    </row>
    <row r="23" spans="1:18" ht="24">
      <c r="A23" s="226">
        <v>19</v>
      </c>
      <c r="B23" s="205" t="s">
        <v>867</v>
      </c>
      <c r="C23" s="205">
        <v>210</v>
      </c>
      <c r="D23" s="205">
        <v>228</v>
      </c>
      <c r="E23" s="205">
        <v>57</v>
      </c>
      <c r="F23" s="205">
        <v>-8</v>
      </c>
      <c r="G23" s="205"/>
      <c r="H23" s="226">
        <v>5</v>
      </c>
      <c r="I23" s="226"/>
      <c r="J23" s="225"/>
      <c r="K23" s="225">
        <v>5</v>
      </c>
      <c r="L23" s="225"/>
      <c r="M23" s="225"/>
      <c r="N23" s="225"/>
      <c r="O23" s="225"/>
      <c r="P23" s="225">
        <v>5</v>
      </c>
      <c r="Q23" s="225">
        <v>2</v>
      </c>
      <c r="R23" s="225">
        <v>504</v>
      </c>
    </row>
    <row r="24" spans="1:18" ht="48">
      <c r="A24" s="226">
        <v>20</v>
      </c>
      <c r="B24" s="205" t="s">
        <v>868</v>
      </c>
      <c r="C24" s="205">
        <v>180</v>
      </c>
      <c r="D24" s="205">
        <v>320</v>
      </c>
      <c r="E24" s="205">
        <v>108</v>
      </c>
      <c r="F24" s="205">
        <v>-10</v>
      </c>
      <c r="G24" s="205"/>
      <c r="H24" s="226"/>
      <c r="I24" s="226"/>
      <c r="J24" s="225"/>
      <c r="K24" s="225"/>
      <c r="L24" s="225"/>
      <c r="M24" s="225"/>
      <c r="N24" s="225"/>
      <c r="O24" s="225"/>
      <c r="P24" s="225">
        <v>5</v>
      </c>
      <c r="Q24" s="225">
        <v>2</v>
      </c>
      <c r="R24" s="225">
        <v>605</v>
      </c>
    </row>
    <row r="25" spans="1:18" ht="24">
      <c r="A25" s="226">
        <v>21</v>
      </c>
      <c r="B25" s="205" t="s">
        <v>869</v>
      </c>
      <c r="C25" s="205">
        <v>330</v>
      </c>
      <c r="D25" s="205">
        <v>236</v>
      </c>
      <c r="E25" s="205">
        <v>72</v>
      </c>
      <c r="F25" s="205">
        <v>-16</v>
      </c>
      <c r="G25" s="205"/>
      <c r="H25" s="226"/>
      <c r="I25" s="226"/>
      <c r="J25" s="225"/>
      <c r="K25" s="225"/>
      <c r="L25" s="225">
        <v>5</v>
      </c>
      <c r="M25" s="225">
        <v>3</v>
      </c>
      <c r="N25" s="225"/>
      <c r="O25" s="225"/>
      <c r="P25" s="225">
        <v>5</v>
      </c>
      <c r="Q25" s="225">
        <v>2</v>
      </c>
      <c r="R25" s="225">
        <v>637</v>
      </c>
    </row>
    <row r="26" spans="1:18" ht="24">
      <c r="A26" s="226">
        <v>22</v>
      </c>
      <c r="B26" s="205" t="s">
        <v>870</v>
      </c>
      <c r="C26" s="205">
        <v>260</v>
      </c>
      <c r="D26" s="205">
        <v>244</v>
      </c>
      <c r="E26" s="205">
        <v>28</v>
      </c>
      <c r="F26" s="205">
        <v>-12</v>
      </c>
      <c r="G26" s="205"/>
      <c r="H26" s="225"/>
      <c r="I26" s="226"/>
      <c r="J26" s="225"/>
      <c r="K26" s="225"/>
      <c r="L26" s="226">
        <v>5</v>
      </c>
      <c r="M26" s="226">
        <v>3</v>
      </c>
      <c r="N26" s="225"/>
      <c r="O26" s="225"/>
      <c r="P26" s="225">
        <v>5</v>
      </c>
      <c r="Q26" s="225">
        <v>2</v>
      </c>
      <c r="R26" s="225">
        <v>535</v>
      </c>
    </row>
    <row r="27" spans="1:18" ht="24">
      <c r="A27" s="226">
        <v>23</v>
      </c>
      <c r="B27" s="205" t="s">
        <v>871</v>
      </c>
      <c r="C27" s="205">
        <v>545</v>
      </c>
      <c r="D27" s="205">
        <v>132</v>
      </c>
      <c r="E27" s="205">
        <v>9</v>
      </c>
      <c r="F27" s="205">
        <v>0</v>
      </c>
      <c r="G27" s="205"/>
      <c r="H27" s="225">
        <v>5</v>
      </c>
      <c r="I27" s="225"/>
      <c r="J27" s="225">
        <v>20</v>
      </c>
      <c r="K27" s="225">
        <v>5</v>
      </c>
      <c r="L27" s="225">
        <v>5</v>
      </c>
      <c r="M27" s="225"/>
      <c r="N27" s="225"/>
      <c r="O27" s="225"/>
      <c r="P27" s="225">
        <v>5</v>
      </c>
      <c r="Q27" s="225">
        <v>2</v>
      </c>
      <c r="R27" s="225">
        <v>728</v>
      </c>
    </row>
    <row r="28" spans="1:18" ht="36">
      <c r="A28" s="226">
        <v>24</v>
      </c>
      <c r="B28" s="205" t="s">
        <v>872</v>
      </c>
      <c r="C28" s="205">
        <v>250</v>
      </c>
      <c r="D28" s="205">
        <v>276</v>
      </c>
      <c r="E28" s="205">
        <v>57</v>
      </c>
      <c r="F28" s="205">
        <v>-8</v>
      </c>
      <c r="G28" s="205"/>
      <c r="H28" s="225"/>
      <c r="I28" s="225"/>
      <c r="J28" s="225"/>
      <c r="K28" s="225"/>
      <c r="L28" s="225">
        <v>5</v>
      </c>
      <c r="M28" s="225"/>
      <c r="N28" s="225"/>
      <c r="O28" s="225"/>
      <c r="P28" s="225">
        <v>5</v>
      </c>
      <c r="Q28" s="225">
        <v>2</v>
      </c>
      <c r="R28" s="225">
        <v>587</v>
      </c>
    </row>
    <row r="29" spans="1:18" ht="24">
      <c r="A29" s="226">
        <v>25</v>
      </c>
      <c r="B29" s="205" t="s">
        <v>873</v>
      </c>
      <c r="C29" s="205">
        <v>330</v>
      </c>
      <c r="D29" s="205">
        <v>220</v>
      </c>
      <c r="E29" s="205">
        <v>24</v>
      </c>
      <c r="F29" s="205">
        <v>-4</v>
      </c>
      <c r="G29" s="205"/>
      <c r="H29" s="225"/>
      <c r="I29" s="225"/>
      <c r="J29" s="225"/>
      <c r="K29" s="225"/>
      <c r="L29" s="225"/>
      <c r="M29" s="225">
        <v>3</v>
      </c>
      <c r="N29" s="225"/>
      <c r="O29" s="225"/>
      <c r="P29" s="225">
        <v>5</v>
      </c>
      <c r="Q29" s="225">
        <v>2</v>
      </c>
      <c r="R29" s="225">
        <v>580</v>
      </c>
    </row>
  </sheetData>
  <sheetProtection/>
  <mergeCells count="18">
    <mergeCell ref="Q3:Q4"/>
    <mergeCell ref="R3:R4"/>
    <mergeCell ref="J3:J4"/>
    <mergeCell ref="K3:K4"/>
    <mergeCell ref="L3:L4"/>
    <mergeCell ref="M3:M4"/>
    <mergeCell ref="N3:N4"/>
    <mergeCell ref="O3:O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" sqref="A1:R29"/>
    </sheetView>
  </sheetViews>
  <sheetFormatPr defaultColWidth="9.140625" defaultRowHeight="15"/>
  <sheetData>
    <row r="1" spans="1:18" ht="15">
      <c r="A1" s="321" t="s">
        <v>874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5">
      <c r="A2" s="20"/>
      <c r="B2" s="20"/>
      <c r="C2" s="20"/>
      <c r="D2" s="20"/>
      <c r="E2" s="20"/>
      <c r="F2" s="20"/>
      <c r="G2" s="22"/>
      <c r="H2" s="228" t="s">
        <v>875</v>
      </c>
      <c r="I2" s="22"/>
      <c r="J2" s="22"/>
      <c r="K2" s="22"/>
      <c r="L2" s="22"/>
      <c r="M2" s="22"/>
      <c r="N2" s="22"/>
      <c r="O2" s="23" t="s">
        <v>0</v>
      </c>
      <c r="P2" s="23"/>
      <c r="Q2" s="23"/>
      <c r="R2" s="23">
        <f>SUM(R5:R26)</f>
        <v>15749</v>
      </c>
    </row>
    <row r="3" spans="1:18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6" t="s">
        <v>11</v>
      </c>
      <c r="H3" s="306" t="s">
        <v>4</v>
      </c>
      <c r="I3" s="306" t="s">
        <v>12</v>
      </c>
      <c r="J3" s="306" t="s">
        <v>13</v>
      </c>
      <c r="K3" s="306" t="s">
        <v>14</v>
      </c>
      <c r="L3" s="306" t="s">
        <v>15</v>
      </c>
      <c r="M3" s="306" t="s">
        <v>16</v>
      </c>
      <c r="N3" s="306" t="s">
        <v>17</v>
      </c>
      <c r="O3" s="306" t="s">
        <v>5</v>
      </c>
      <c r="P3" s="24" t="s">
        <v>18</v>
      </c>
      <c r="Q3" s="306" t="s">
        <v>6</v>
      </c>
      <c r="R3" s="338" t="s">
        <v>3</v>
      </c>
    </row>
    <row r="4" spans="1:18" ht="15">
      <c r="A4" s="305"/>
      <c r="B4" s="305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25"/>
      <c r="Q4" s="307"/>
      <c r="R4" s="338"/>
    </row>
    <row r="5" spans="1:18" ht="33.75">
      <c r="A5" s="26">
        <v>1</v>
      </c>
      <c r="B5" s="105" t="s">
        <v>876</v>
      </c>
      <c r="C5" s="26">
        <v>575</v>
      </c>
      <c r="D5" s="26">
        <v>152</v>
      </c>
      <c r="E5" s="26">
        <v>9</v>
      </c>
      <c r="F5" s="26">
        <v>0</v>
      </c>
      <c r="G5" s="26">
        <v>0</v>
      </c>
      <c r="H5" s="26">
        <v>0</v>
      </c>
      <c r="I5" s="26">
        <v>0</v>
      </c>
      <c r="J5" s="29">
        <v>10</v>
      </c>
      <c r="K5" s="29">
        <v>0</v>
      </c>
      <c r="L5" s="29">
        <v>20</v>
      </c>
      <c r="M5" s="31">
        <v>0</v>
      </c>
      <c r="N5" s="29">
        <v>15</v>
      </c>
      <c r="O5" s="29">
        <v>0</v>
      </c>
      <c r="P5" s="29">
        <v>0</v>
      </c>
      <c r="Q5" s="29">
        <v>0</v>
      </c>
      <c r="R5" s="31">
        <f>C5+D5+E5-F5-G5+H5-I5+J5+K5+L5+M5+N5+O5+P5+Q5</f>
        <v>781</v>
      </c>
    </row>
    <row r="6" spans="1:18" ht="33.75">
      <c r="A6" s="26">
        <v>2</v>
      </c>
      <c r="B6" s="105" t="s">
        <v>877</v>
      </c>
      <c r="C6" s="26">
        <v>570</v>
      </c>
      <c r="D6" s="26">
        <v>184</v>
      </c>
      <c r="E6" s="26">
        <v>6</v>
      </c>
      <c r="F6" s="26">
        <v>0</v>
      </c>
      <c r="G6" s="26">
        <v>0</v>
      </c>
      <c r="H6" s="26">
        <v>0</v>
      </c>
      <c r="I6" s="26">
        <v>0</v>
      </c>
      <c r="J6" s="31">
        <v>10</v>
      </c>
      <c r="K6" s="31">
        <v>0</v>
      </c>
      <c r="L6" s="31">
        <v>20</v>
      </c>
      <c r="M6" s="31">
        <v>10</v>
      </c>
      <c r="N6" s="31">
        <v>20</v>
      </c>
      <c r="O6" s="31">
        <v>0</v>
      </c>
      <c r="P6" s="31">
        <v>0</v>
      </c>
      <c r="Q6" s="31">
        <v>0</v>
      </c>
      <c r="R6" s="31">
        <f aca="true" t="shared" si="0" ref="R6:R28">C6+D6+E6-F6-G6+H6+I6+J6+K6+L6+M6+N6+O6+P6+Q6</f>
        <v>820</v>
      </c>
    </row>
    <row r="7" spans="1:18" ht="45">
      <c r="A7" s="26">
        <v>3</v>
      </c>
      <c r="B7" s="105" t="s">
        <v>878</v>
      </c>
      <c r="C7" s="26">
        <v>450</v>
      </c>
      <c r="D7" s="26">
        <v>200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31">
        <v>10</v>
      </c>
      <c r="K7" s="31">
        <v>0</v>
      </c>
      <c r="L7" s="31">
        <v>0</v>
      </c>
      <c r="M7" s="31">
        <v>0</v>
      </c>
      <c r="N7" s="31">
        <v>5</v>
      </c>
      <c r="O7" s="31">
        <v>0</v>
      </c>
      <c r="P7" s="31">
        <v>0</v>
      </c>
      <c r="Q7" s="31">
        <v>0</v>
      </c>
      <c r="R7" s="31">
        <f t="shared" si="0"/>
        <v>665</v>
      </c>
    </row>
    <row r="8" spans="1:18" ht="45">
      <c r="A8" s="26">
        <v>4</v>
      </c>
      <c r="B8" s="105" t="s">
        <v>879</v>
      </c>
      <c r="C8" s="31">
        <v>450</v>
      </c>
      <c r="D8" s="31">
        <v>296</v>
      </c>
      <c r="E8" s="31">
        <v>3</v>
      </c>
      <c r="F8" s="31">
        <v>0</v>
      </c>
      <c r="G8" s="31">
        <v>0</v>
      </c>
      <c r="H8" s="31">
        <v>0</v>
      </c>
      <c r="I8" s="31">
        <v>0</v>
      </c>
      <c r="J8" s="31">
        <v>10</v>
      </c>
      <c r="K8" s="31">
        <v>0</v>
      </c>
      <c r="L8" s="31">
        <v>0</v>
      </c>
      <c r="M8" s="31">
        <v>0</v>
      </c>
      <c r="N8" s="31">
        <v>10</v>
      </c>
      <c r="O8" s="31">
        <v>0</v>
      </c>
      <c r="P8" s="31">
        <v>0</v>
      </c>
      <c r="Q8" s="31">
        <v>0</v>
      </c>
      <c r="R8" s="31">
        <f t="shared" si="0"/>
        <v>769</v>
      </c>
    </row>
    <row r="9" spans="1:18" ht="33.75">
      <c r="A9" s="26">
        <v>5</v>
      </c>
      <c r="B9" s="105" t="s">
        <v>880</v>
      </c>
      <c r="C9" s="31">
        <v>390</v>
      </c>
      <c r="D9" s="31">
        <v>292</v>
      </c>
      <c r="E9" s="31">
        <v>12</v>
      </c>
      <c r="F9" s="31">
        <v>0</v>
      </c>
      <c r="G9" s="31">
        <v>0</v>
      </c>
      <c r="H9" s="31">
        <v>0</v>
      </c>
      <c r="I9" s="31">
        <v>0</v>
      </c>
      <c r="J9" s="31">
        <v>10</v>
      </c>
      <c r="K9" s="31">
        <v>0</v>
      </c>
      <c r="L9" s="31">
        <v>0</v>
      </c>
      <c r="M9" s="31">
        <v>0</v>
      </c>
      <c r="N9" s="31">
        <v>10</v>
      </c>
      <c r="O9" s="31">
        <v>0</v>
      </c>
      <c r="P9" s="31">
        <v>0</v>
      </c>
      <c r="Q9" s="31">
        <v>0</v>
      </c>
      <c r="R9" s="31">
        <f t="shared" si="0"/>
        <v>714</v>
      </c>
    </row>
    <row r="10" spans="1:18" ht="45">
      <c r="A10" s="29">
        <v>6</v>
      </c>
      <c r="B10" s="108" t="s">
        <v>881</v>
      </c>
      <c r="C10" s="229">
        <v>245</v>
      </c>
      <c r="D10" s="229">
        <v>352</v>
      </c>
      <c r="E10" s="229">
        <v>48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5</v>
      </c>
      <c r="O10" s="229">
        <v>0</v>
      </c>
      <c r="P10" s="229">
        <v>0</v>
      </c>
      <c r="Q10" s="229">
        <v>0</v>
      </c>
      <c r="R10" s="229">
        <f t="shared" si="0"/>
        <v>650</v>
      </c>
    </row>
    <row r="11" spans="1:18" ht="45">
      <c r="A11" s="29">
        <v>7</v>
      </c>
      <c r="B11" s="108" t="s">
        <v>882</v>
      </c>
      <c r="C11" s="229">
        <v>270</v>
      </c>
      <c r="D11" s="229">
        <v>376</v>
      </c>
      <c r="E11" s="229">
        <v>21</v>
      </c>
      <c r="F11" s="229">
        <v>0</v>
      </c>
      <c r="G11" s="229">
        <v>0</v>
      </c>
      <c r="H11" s="229">
        <v>10</v>
      </c>
      <c r="I11" s="229">
        <v>0</v>
      </c>
      <c r="J11" s="229">
        <v>10</v>
      </c>
      <c r="K11" s="229">
        <v>10</v>
      </c>
      <c r="L11" s="229">
        <v>0</v>
      </c>
      <c r="M11" s="229">
        <v>0</v>
      </c>
      <c r="N11" s="229">
        <v>10</v>
      </c>
      <c r="O11" s="229">
        <v>0</v>
      </c>
      <c r="P11" s="229">
        <v>0</v>
      </c>
      <c r="Q11" s="229">
        <v>0</v>
      </c>
      <c r="R11" s="229">
        <f t="shared" si="0"/>
        <v>707</v>
      </c>
    </row>
    <row r="12" spans="1:18" ht="33.75">
      <c r="A12" s="26">
        <v>8</v>
      </c>
      <c r="B12" s="105" t="s">
        <v>883</v>
      </c>
      <c r="C12" s="26">
        <v>490</v>
      </c>
      <c r="D12" s="26">
        <v>112</v>
      </c>
      <c r="E12" s="26">
        <v>3</v>
      </c>
      <c r="F12" s="26">
        <v>0</v>
      </c>
      <c r="G12" s="26">
        <v>0</v>
      </c>
      <c r="H12" s="26">
        <v>0</v>
      </c>
      <c r="I12" s="26">
        <v>0</v>
      </c>
      <c r="J12" s="31">
        <v>10</v>
      </c>
      <c r="K12" s="31">
        <v>0</v>
      </c>
      <c r="L12" s="31">
        <v>20</v>
      </c>
      <c r="M12" s="31">
        <v>0</v>
      </c>
      <c r="N12" s="31">
        <v>15</v>
      </c>
      <c r="O12" s="31">
        <v>0</v>
      </c>
      <c r="P12" s="31">
        <v>0</v>
      </c>
      <c r="Q12" s="31">
        <v>0</v>
      </c>
      <c r="R12" s="31">
        <f t="shared" si="0"/>
        <v>650</v>
      </c>
    </row>
    <row r="13" spans="1:18" ht="45">
      <c r="A13" s="26">
        <v>9</v>
      </c>
      <c r="B13" s="105" t="s">
        <v>884</v>
      </c>
      <c r="C13" s="26">
        <v>285</v>
      </c>
      <c r="D13" s="26">
        <v>268</v>
      </c>
      <c r="E13" s="26">
        <v>108</v>
      </c>
      <c r="F13" s="26">
        <v>0</v>
      </c>
      <c r="G13" s="26">
        <v>0</v>
      </c>
      <c r="H13" s="26">
        <v>0</v>
      </c>
      <c r="I13" s="26">
        <v>0</v>
      </c>
      <c r="J13" s="31">
        <v>10</v>
      </c>
      <c r="K13" s="31">
        <v>0</v>
      </c>
      <c r="L13" s="31">
        <v>0</v>
      </c>
      <c r="M13" s="31">
        <v>0</v>
      </c>
      <c r="N13" s="31">
        <v>10</v>
      </c>
      <c r="O13" s="31">
        <v>0</v>
      </c>
      <c r="P13" s="31">
        <v>0</v>
      </c>
      <c r="Q13" s="31">
        <v>0</v>
      </c>
      <c r="R13" s="31">
        <f t="shared" si="0"/>
        <v>681</v>
      </c>
    </row>
    <row r="14" spans="1:18" ht="45">
      <c r="A14" s="26">
        <v>10</v>
      </c>
      <c r="B14" s="105" t="s">
        <v>885</v>
      </c>
      <c r="C14" s="26">
        <v>440</v>
      </c>
      <c r="D14" s="26">
        <v>248</v>
      </c>
      <c r="E14" s="26">
        <v>3</v>
      </c>
      <c r="F14" s="26">
        <v>0</v>
      </c>
      <c r="G14" s="26">
        <v>0</v>
      </c>
      <c r="H14" s="26">
        <v>0</v>
      </c>
      <c r="I14" s="26">
        <v>0</v>
      </c>
      <c r="J14" s="31">
        <v>10</v>
      </c>
      <c r="K14" s="31">
        <v>0</v>
      </c>
      <c r="L14" s="31">
        <v>0</v>
      </c>
      <c r="M14" s="31">
        <v>0</v>
      </c>
      <c r="N14" s="31">
        <v>20</v>
      </c>
      <c r="O14" s="31">
        <v>0</v>
      </c>
      <c r="P14" s="31">
        <v>0</v>
      </c>
      <c r="Q14" s="31">
        <v>0</v>
      </c>
      <c r="R14" s="31">
        <f t="shared" si="0"/>
        <v>721</v>
      </c>
    </row>
    <row r="15" spans="1:18" ht="33.75">
      <c r="A15" s="26">
        <v>11</v>
      </c>
      <c r="B15" s="105" t="s">
        <v>886</v>
      </c>
      <c r="C15" s="31">
        <v>275</v>
      </c>
      <c r="D15" s="31">
        <v>360</v>
      </c>
      <c r="E15" s="31">
        <v>30</v>
      </c>
      <c r="F15" s="31">
        <v>0</v>
      </c>
      <c r="G15" s="31">
        <v>0</v>
      </c>
      <c r="H15" s="31">
        <v>0</v>
      </c>
      <c r="I15" s="31">
        <v>0</v>
      </c>
      <c r="J15" s="31">
        <v>10</v>
      </c>
      <c r="K15" s="31">
        <v>0</v>
      </c>
      <c r="L15" s="31">
        <v>0</v>
      </c>
      <c r="M15" s="31">
        <v>0</v>
      </c>
      <c r="N15" s="31">
        <v>5</v>
      </c>
      <c r="O15" s="31">
        <v>0</v>
      </c>
      <c r="P15" s="31">
        <v>0</v>
      </c>
      <c r="Q15" s="31">
        <v>0</v>
      </c>
      <c r="R15" s="31">
        <f t="shared" si="0"/>
        <v>680</v>
      </c>
    </row>
    <row r="16" spans="1:18" ht="45">
      <c r="A16" s="26">
        <v>12</v>
      </c>
      <c r="B16" s="105" t="s">
        <v>887</v>
      </c>
      <c r="C16" s="26">
        <v>565</v>
      </c>
      <c r="D16" s="26">
        <v>192</v>
      </c>
      <c r="E16" s="26">
        <v>12</v>
      </c>
      <c r="F16" s="26">
        <v>0</v>
      </c>
      <c r="G16" s="26">
        <v>0</v>
      </c>
      <c r="H16" s="26">
        <v>0</v>
      </c>
      <c r="I16" s="26">
        <v>0</v>
      </c>
      <c r="J16" s="31">
        <v>10</v>
      </c>
      <c r="K16" s="31">
        <v>0</v>
      </c>
      <c r="L16" s="31">
        <v>20</v>
      </c>
      <c r="M16" s="31">
        <v>0</v>
      </c>
      <c r="N16" s="31">
        <v>10</v>
      </c>
      <c r="O16" s="31">
        <v>0</v>
      </c>
      <c r="P16" s="31">
        <v>0</v>
      </c>
      <c r="Q16" s="31">
        <v>0</v>
      </c>
      <c r="R16" s="31">
        <f t="shared" si="0"/>
        <v>809</v>
      </c>
    </row>
    <row r="17" spans="1:18" ht="33.75">
      <c r="A17" s="26">
        <v>13</v>
      </c>
      <c r="B17" s="105" t="s">
        <v>888</v>
      </c>
      <c r="C17" s="26">
        <v>370</v>
      </c>
      <c r="D17" s="26">
        <v>248</v>
      </c>
      <c r="E17" s="26">
        <v>15</v>
      </c>
      <c r="F17" s="26">
        <v>0</v>
      </c>
      <c r="G17" s="26">
        <v>0</v>
      </c>
      <c r="H17" s="26">
        <v>0</v>
      </c>
      <c r="I17" s="26">
        <v>0</v>
      </c>
      <c r="J17" s="31">
        <v>10</v>
      </c>
      <c r="K17" s="31">
        <v>0</v>
      </c>
      <c r="L17" s="31">
        <v>0</v>
      </c>
      <c r="M17" s="31">
        <v>0</v>
      </c>
      <c r="N17" s="31">
        <v>10</v>
      </c>
      <c r="O17" s="31">
        <v>0</v>
      </c>
      <c r="P17" s="31">
        <v>0</v>
      </c>
      <c r="Q17" s="31">
        <v>0</v>
      </c>
      <c r="R17" s="31">
        <f t="shared" si="0"/>
        <v>653</v>
      </c>
    </row>
    <row r="18" spans="1:18" ht="33.75">
      <c r="A18" s="26">
        <v>14</v>
      </c>
      <c r="B18" s="105" t="s">
        <v>889</v>
      </c>
      <c r="C18" s="26">
        <v>305</v>
      </c>
      <c r="D18" s="26">
        <v>364</v>
      </c>
      <c r="E18" s="26">
        <v>21</v>
      </c>
      <c r="F18" s="26">
        <v>0</v>
      </c>
      <c r="G18" s="26">
        <v>0</v>
      </c>
      <c r="H18" s="26">
        <v>0</v>
      </c>
      <c r="I18" s="26">
        <v>0</v>
      </c>
      <c r="J18" s="31">
        <v>10</v>
      </c>
      <c r="K18" s="31">
        <v>0</v>
      </c>
      <c r="L18" s="31">
        <v>20</v>
      </c>
      <c r="M18" s="31">
        <v>0</v>
      </c>
      <c r="N18" s="31">
        <v>10</v>
      </c>
      <c r="O18" s="31">
        <v>0</v>
      </c>
      <c r="P18" s="31">
        <v>0</v>
      </c>
      <c r="Q18" s="31">
        <v>0</v>
      </c>
      <c r="R18" s="31">
        <f t="shared" si="0"/>
        <v>730</v>
      </c>
    </row>
    <row r="19" spans="1:18" ht="45">
      <c r="A19" s="26">
        <v>15</v>
      </c>
      <c r="B19" s="105" t="s">
        <v>890</v>
      </c>
      <c r="C19" s="26">
        <v>685</v>
      </c>
      <c r="D19" s="26">
        <v>92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31">
        <v>10</v>
      </c>
      <c r="K19" s="31">
        <v>0</v>
      </c>
      <c r="L19" s="31">
        <v>20</v>
      </c>
      <c r="M19" s="31">
        <v>0</v>
      </c>
      <c r="N19" s="31">
        <v>15</v>
      </c>
      <c r="O19" s="31">
        <v>0</v>
      </c>
      <c r="P19" s="31">
        <v>0</v>
      </c>
      <c r="Q19" s="31">
        <v>0</v>
      </c>
      <c r="R19" s="31">
        <f t="shared" si="0"/>
        <v>822</v>
      </c>
    </row>
    <row r="20" spans="1:18" ht="45">
      <c r="A20" s="26">
        <v>16</v>
      </c>
      <c r="B20" s="105" t="s">
        <v>891</v>
      </c>
      <c r="C20" s="26">
        <v>375</v>
      </c>
      <c r="D20" s="26">
        <v>292</v>
      </c>
      <c r="E20" s="26">
        <v>33</v>
      </c>
      <c r="F20" s="26">
        <v>0</v>
      </c>
      <c r="G20" s="26">
        <v>0</v>
      </c>
      <c r="H20" s="26">
        <v>0</v>
      </c>
      <c r="I20" s="26">
        <v>0</v>
      </c>
      <c r="J20" s="31">
        <v>10</v>
      </c>
      <c r="K20" s="31">
        <v>0</v>
      </c>
      <c r="L20" s="31">
        <v>0</v>
      </c>
      <c r="M20" s="31">
        <v>0</v>
      </c>
      <c r="N20" s="31">
        <v>10</v>
      </c>
      <c r="O20" s="31">
        <v>0</v>
      </c>
      <c r="P20" s="31">
        <v>0</v>
      </c>
      <c r="Q20" s="31">
        <v>0</v>
      </c>
      <c r="R20" s="31">
        <f t="shared" si="0"/>
        <v>720</v>
      </c>
    </row>
    <row r="21" spans="1:18" ht="33.75">
      <c r="A21" s="26">
        <v>17</v>
      </c>
      <c r="B21" s="105" t="s">
        <v>892</v>
      </c>
      <c r="C21" s="26">
        <v>185</v>
      </c>
      <c r="D21" s="26">
        <v>296</v>
      </c>
      <c r="E21" s="26">
        <v>6</v>
      </c>
      <c r="F21" s="26">
        <v>0</v>
      </c>
      <c r="G21" s="26">
        <v>0</v>
      </c>
      <c r="H21" s="26">
        <v>0</v>
      </c>
      <c r="I21" s="26">
        <v>0</v>
      </c>
      <c r="J21" s="31">
        <v>10</v>
      </c>
      <c r="K21" s="31">
        <v>0</v>
      </c>
      <c r="L21" s="31">
        <v>0</v>
      </c>
      <c r="M21" s="31">
        <v>0</v>
      </c>
      <c r="N21" s="31">
        <v>10</v>
      </c>
      <c r="O21" s="31">
        <v>0</v>
      </c>
      <c r="P21" s="31">
        <v>0</v>
      </c>
      <c r="Q21" s="31">
        <v>0</v>
      </c>
      <c r="R21" s="31">
        <f t="shared" si="0"/>
        <v>507</v>
      </c>
    </row>
    <row r="22" spans="1:18" ht="45">
      <c r="A22" s="26">
        <v>18</v>
      </c>
      <c r="B22" s="105" t="s">
        <v>893</v>
      </c>
      <c r="C22" s="26">
        <v>675</v>
      </c>
      <c r="D22" s="26">
        <v>96</v>
      </c>
      <c r="E22" s="26">
        <v>3</v>
      </c>
      <c r="F22" s="26">
        <v>0</v>
      </c>
      <c r="G22" s="26">
        <v>0</v>
      </c>
      <c r="H22" s="26">
        <v>0</v>
      </c>
      <c r="I22" s="26">
        <v>0</v>
      </c>
      <c r="J22" s="31">
        <v>10</v>
      </c>
      <c r="K22" s="31">
        <v>0</v>
      </c>
      <c r="L22" s="31">
        <v>0</v>
      </c>
      <c r="M22" s="31">
        <v>0</v>
      </c>
      <c r="N22" s="31">
        <v>10</v>
      </c>
      <c r="O22" s="31">
        <v>0</v>
      </c>
      <c r="P22" s="31">
        <v>0</v>
      </c>
      <c r="Q22" s="31">
        <v>0</v>
      </c>
      <c r="R22" s="31">
        <f t="shared" si="0"/>
        <v>794</v>
      </c>
    </row>
    <row r="23" spans="1:18" ht="45">
      <c r="A23" s="26">
        <v>19</v>
      </c>
      <c r="B23" s="105" t="s">
        <v>894</v>
      </c>
      <c r="C23" s="26">
        <v>585</v>
      </c>
      <c r="D23" s="26">
        <v>164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1">
        <v>0</v>
      </c>
      <c r="K23" s="31">
        <v>0</v>
      </c>
      <c r="L23" s="31">
        <v>0</v>
      </c>
      <c r="M23" s="31">
        <v>0</v>
      </c>
      <c r="N23" s="31">
        <v>5</v>
      </c>
      <c r="O23" s="31">
        <v>0</v>
      </c>
      <c r="P23" s="31">
        <v>0</v>
      </c>
      <c r="Q23" s="31">
        <v>0</v>
      </c>
      <c r="R23" s="31">
        <f t="shared" si="0"/>
        <v>754</v>
      </c>
    </row>
    <row r="24" spans="1:18" ht="33.75">
      <c r="A24" s="26">
        <v>20</v>
      </c>
      <c r="B24" s="105" t="s">
        <v>895</v>
      </c>
      <c r="C24" s="26">
        <v>260</v>
      </c>
      <c r="D24" s="26">
        <v>360</v>
      </c>
      <c r="E24" s="26">
        <v>3</v>
      </c>
      <c r="F24" s="26">
        <v>0</v>
      </c>
      <c r="G24" s="26">
        <v>0</v>
      </c>
      <c r="H24" s="26">
        <v>0</v>
      </c>
      <c r="I24" s="26">
        <v>0</v>
      </c>
      <c r="J24" s="31">
        <v>0</v>
      </c>
      <c r="K24" s="31">
        <v>0</v>
      </c>
      <c r="L24" s="31">
        <v>20</v>
      </c>
      <c r="M24" s="31">
        <v>0</v>
      </c>
      <c r="N24" s="31">
        <v>5</v>
      </c>
      <c r="O24" s="31">
        <v>0</v>
      </c>
      <c r="P24" s="31">
        <v>0</v>
      </c>
      <c r="Q24" s="31">
        <v>0</v>
      </c>
      <c r="R24" s="31">
        <f t="shared" si="0"/>
        <v>648</v>
      </c>
    </row>
    <row r="25" spans="1:18" ht="33.75">
      <c r="A25" s="26">
        <v>21</v>
      </c>
      <c r="B25" s="105" t="s">
        <v>896</v>
      </c>
      <c r="C25" s="31">
        <v>645</v>
      </c>
      <c r="D25" s="31">
        <v>124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15</v>
      </c>
      <c r="O25" s="31">
        <v>0</v>
      </c>
      <c r="P25" s="31">
        <v>0</v>
      </c>
      <c r="Q25" s="31">
        <v>0</v>
      </c>
      <c r="R25" s="31">
        <f t="shared" si="0"/>
        <v>784</v>
      </c>
    </row>
    <row r="26" spans="1:18" ht="33.75">
      <c r="A26" s="26">
        <v>22</v>
      </c>
      <c r="B26" s="105" t="s">
        <v>897</v>
      </c>
      <c r="C26" s="8">
        <v>250</v>
      </c>
      <c r="D26" s="8">
        <v>412</v>
      </c>
      <c r="E26" s="26">
        <v>18</v>
      </c>
      <c r="F26" s="26">
        <v>0</v>
      </c>
      <c r="G26" s="26">
        <v>0</v>
      </c>
      <c r="H26" s="26">
        <v>0</v>
      </c>
      <c r="I26" s="26">
        <v>0</v>
      </c>
      <c r="J26" s="31">
        <v>0</v>
      </c>
      <c r="K26" s="31">
        <v>0</v>
      </c>
      <c r="L26" s="31">
        <v>0</v>
      </c>
      <c r="M26" s="31">
        <v>0</v>
      </c>
      <c r="N26" s="31">
        <v>10</v>
      </c>
      <c r="O26" s="31">
        <v>0</v>
      </c>
      <c r="P26" s="31">
        <v>0</v>
      </c>
      <c r="Q26" s="31">
        <v>0</v>
      </c>
      <c r="R26" s="31">
        <f t="shared" si="0"/>
        <v>690</v>
      </c>
    </row>
    <row r="27" spans="1:18" ht="45">
      <c r="A27" s="26">
        <v>23</v>
      </c>
      <c r="B27" s="105" t="s">
        <v>898</v>
      </c>
      <c r="C27" s="31">
        <v>250</v>
      </c>
      <c r="D27" s="31">
        <v>360</v>
      </c>
      <c r="E27" s="31">
        <v>0</v>
      </c>
      <c r="F27" s="31">
        <v>0</v>
      </c>
      <c r="G27" s="31">
        <v>0</v>
      </c>
      <c r="H27" s="31">
        <v>0</v>
      </c>
      <c r="I27" s="26">
        <v>0</v>
      </c>
      <c r="J27" s="31">
        <v>0</v>
      </c>
      <c r="K27" s="31">
        <v>0</v>
      </c>
      <c r="L27" s="26">
        <v>0</v>
      </c>
      <c r="M27" s="26">
        <v>0</v>
      </c>
      <c r="N27" s="31">
        <v>10</v>
      </c>
      <c r="O27" s="31">
        <v>0</v>
      </c>
      <c r="P27" s="31">
        <v>0</v>
      </c>
      <c r="Q27" s="31">
        <v>0</v>
      </c>
      <c r="R27" s="31">
        <f t="shared" si="0"/>
        <v>620</v>
      </c>
    </row>
    <row r="28" spans="1:18" ht="45">
      <c r="A28" s="26">
        <v>24</v>
      </c>
      <c r="B28" s="105" t="s">
        <v>899</v>
      </c>
      <c r="C28" s="31">
        <v>585</v>
      </c>
      <c r="D28" s="31">
        <v>184</v>
      </c>
      <c r="E28" s="31">
        <v>3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15</v>
      </c>
      <c r="O28" s="31">
        <v>0</v>
      </c>
      <c r="P28" s="31">
        <v>0</v>
      </c>
      <c r="Q28" s="31">
        <v>0</v>
      </c>
      <c r="R28" s="31">
        <f t="shared" si="0"/>
        <v>787</v>
      </c>
    </row>
    <row r="29" ht="33.75">
      <c r="B29" s="107" t="s">
        <v>900</v>
      </c>
    </row>
  </sheetData>
  <sheetProtection/>
  <mergeCells count="18">
    <mergeCell ref="Q3:Q4"/>
    <mergeCell ref="R3:R4"/>
    <mergeCell ref="J3:J4"/>
    <mergeCell ref="K3:K4"/>
    <mergeCell ref="L3:L4"/>
    <mergeCell ref="M3:M4"/>
    <mergeCell ref="N3:N4"/>
    <mergeCell ref="O3:O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S30"/>
    </sheetView>
  </sheetViews>
  <sheetFormatPr defaultColWidth="9.140625" defaultRowHeight="15"/>
  <sheetData>
    <row r="1" spans="1:19" ht="15">
      <c r="A1" s="321" t="s">
        <v>901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SUM(S5:S30)</f>
        <v>15193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30">
      <c r="A5" s="26">
        <v>1</v>
      </c>
      <c r="B5" s="161" t="s">
        <v>902</v>
      </c>
      <c r="C5" s="26">
        <v>149</v>
      </c>
      <c r="D5" s="26">
        <v>201</v>
      </c>
      <c r="E5" s="26">
        <v>12</v>
      </c>
      <c r="F5" s="26">
        <v>0</v>
      </c>
      <c r="G5" s="28">
        <f>C5+D5+E5-F5</f>
        <v>362</v>
      </c>
      <c r="H5" s="26">
        <v>0</v>
      </c>
      <c r="I5" s="26">
        <v>0</v>
      </c>
      <c r="J5" s="26">
        <v>0</v>
      </c>
      <c r="K5" s="29">
        <v>0</v>
      </c>
      <c r="L5" s="29">
        <v>0</v>
      </c>
      <c r="M5" s="29">
        <v>0</v>
      </c>
      <c r="N5" s="29">
        <v>0</v>
      </c>
      <c r="O5" s="29">
        <v>4</v>
      </c>
      <c r="P5" s="29">
        <v>0</v>
      </c>
      <c r="Q5" s="29"/>
      <c r="R5" s="29">
        <v>0</v>
      </c>
      <c r="S5" s="30">
        <v>371</v>
      </c>
    </row>
    <row r="6" spans="1:19" ht="45">
      <c r="A6" s="26">
        <v>2</v>
      </c>
      <c r="B6" s="161" t="s">
        <v>903</v>
      </c>
      <c r="C6" s="26">
        <v>452</v>
      </c>
      <c r="D6" s="26">
        <v>256</v>
      </c>
      <c r="E6" s="26">
        <v>0</v>
      </c>
      <c r="F6" s="26">
        <v>0</v>
      </c>
      <c r="G6" s="28">
        <f>C6+D6+E6-F6</f>
        <v>708</v>
      </c>
      <c r="H6" s="26">
        <v>0</v>
      </c>
      <c r="I6" s="26">
        <v>0</v>
      </c>
      <c r="J6" s="26">
        <v>0</v>
      </c>
      <c r="K6" s="31">
        <v>0</v>
      </c>
      <c r="L6" s="31">
        <v>0</v>
      </c>
      <c r="M6" s="29">
        <v>0</v>
      </c>
      <c r="N6" s="29">
        <v>0</v>
      </c>
      <c r="O6" s="31">
        <v>5</v>
      </c>
      <c r="P6" s="31">
        <v>0</v>
      </c>
      <c r="Q6" s="29"/>
      <c r="R6" s="31">
        <v>0</v>
      </c>
      <c r="S6" s="30">
        <f aca="true" t="shared" si="0" ref="S6:S30">G6+SUM(H6:Q6)</f>
        <v>713</v>
      </c>
    </row>
    <row r="7" spans="1:19" ht="45">
      <c r="A7" s="26">
        <v>3</v>
      </c>
      <c r="B7" s="161" t="s">
        <v>904</v>
      </c>
      <c r="C7" s="26">
        <v>626</v>
      </c>
      <c r="D7" s="26">
        <v>321</v>
      </c>
      <c r="E7" s="26">
        <v>0</v>
      </c>
      <c r="F7" s="26">
        <v>0</v>
      </c>
      <c r="G7" s="28">
        <f aca="true" t="shared" si="1" ref="G7:G30">C7+D7+E7-F7</f>
        <v>947</v>
      </c>
      <c r="H7" s="26">
        <v>0</v>
      </c>
      <c r="I7" s="26">
        <v>0</v>
      </c>
      <c r="J7" s="26">
        <v>0</v>
      </c>
      <c r="K7" s="31">
        <v>0</v>
      </c>
      <c r="L7" s="31">
        <v>4</v>
      </c>
      <c r="M7" s="29">
        <v>0</v>
      </c>
      <c r="N7" s="29">
        <v>0</v>
      </c>
      <c r="O7" s="31">
        <v>5</v>
      </c>
      <c r="P7" s="31">
        <v>0</v>
      </c>
      <c r="Q7" s="29"/>
      <c r="R7" s="31">
        <v>0</v>
      </c>
      <c r="S7" s="30">
        <f t="shared" si="0"/>
        <v>956</v>
      </c>
    </row>
    <row r="8" spans="1:19" ht="45">
      <c r="A8" s="26">
        <v>4</v>
      </c>
      <c r="B8" s="161" t="s">
        <v>905</v>
      </c>
      <c r="C8" s="26">
        <v>126</v>
      </c>
      <c r="D8" s="26">
        <v>298</v>
      </c>
      <c r="E8" s="26">
        <v>15</v>
      </c>
      <c r="F8" s="26">
        <v>0</v>
      </c>
      <c r="G8" s="28">
        <f t="shared" si="1"/>
        <v>439</v>
      </c>
      <c r="H8" s="26">
        <v>0</v>
      </c>
      <c r="I8" s="26">
        <v>0</v>
      </c>
      <c r="J8" s="26">
        <v>0</v>
      </c>
      <c r="K8" s="31">
        <v>0</v>
      </c>
      <c r="L8" s="31">
        <v>0</v>
      </c>
      <c r="M8" s="29">
        <v>0</v>
      </c>
      <c r="N8" s="29">
        <v>0</v>
      </c>
      <c r="O8" s="31">
        <v>0</v>
      </c>
      <c r="P8" s="31">
        <v>0</v>
      </c>
      <c r="Q8" s="29"/>
      <c r="R8" s="31">
        <v>0</v>
      </c>
      <c r="S8" s="30">
        <f t="shared" si="0"/>
        <v>439</v>
      </c>
    </row>
    <row r="9" spans="1:19" ht="30">
      <c r="A9" s="26">
        <v>5</v>
      </c>
      <c r="B9" s="161" t="s">
        <v>906</v>
      </c>
      <c r="C9" s="26">
        <v>354</v>
      </c>
      <c r="D9" s="26">
        <v>167</v>
      </c>
      <c r="E9" s="26">
        <v>0</v>
      </c>
      <c r="F9" s="26">
        <v>0</v>
      </c>
      <c r="G9" s="28">
        <f t="shared" si="1"/>
        <v>521</v>
      </c>
      <c r="H9" s="26">
        <v>0</v>
      </c>
      <c r="I9" s="26">
        <v>0</v>
      </c>
      <c r="J9" s="26">
        <v>0</v>
      </c>
      <c r="K9" s="31">
        <v>0</v>
      </c>
      <c r="L9" s="31">
        <v>0</v>
      </c>
      <c r="M9" s="29">
        <v>0</v>
      </c>
      <c r="N9" s="29">
        <v>0</v>
      </c>
      <c r="O9" s="31">
        <v>5</v>
      </c>
      <c r="P9" s="31">
        <v>0</v>
      </c>
      <c r="Q9" s="29"/>
      <c r="R9" s="31">
        <v>0</v>
      </c>
      <c r="S9" s="30">
        <v>526</v>
      </c>
    </row>
    <row r="10" spans="1:19" ht="45">
      <c r="A10" s="26">
        <v>6</v>
      </c>
      <c r="B10" s="161" t="s">
        <v>907</v>
      </c>
      <c r="C10" s="26">
        <v>189</v>
      </c>
      <c r="D10" s="26">
        <v>312</v>
      </c>
      <c r="E10" s="26">
        <v>9</v>
      </c>
      <c r="F10" s="26">
        <v>0</v>
      </c>
      <c r="G10" s="28">
        <f t="shared" si="1"/>
        <v>510</v>
      </c>
      <c r="H10" s="26">
        <v>0</v>
      </c>
      <c r="I10" s="26">
        <v>0</v>
      </c>
      <c r="J10" s="26">
        <v>0</v>
      </c>
      <c r="K10" s="31">
        <v>0</v>
      </c>
      <c r="L10" s="31">
        <v>0</v>
      </c>
      <c r="M10" s="29">
        <v>0</v>
      </c>
      <c r="N10" s="29">
        <v>0</v>
      </c>
      <c r="O10" s="31">
        <v>5</v>
      </c>
      <c r="P10" s="31">
        <v>0</v>
      </c>
      <c r="Q10" s="29"/>
      <c r="R10" s="31">
        <v>0</v>
      </c>
      <c r="S10" s="30">
        <f t="shared" si="0"/>
        <v>515</v>
      </c>
    </row>
    <row r="11" spans="1:19" ht="45">
      <c r="A11" s="26">
        <v>7</v>
      </c>
      <c r="B11" s="161" t="s">
        <v>908</v>
      </c>
      <c r="C11" s="26">
        <v>244</v>
      </c>
      <c r="D11" s="26">
        <v>292</v>
      </c>
      <c r="E11" s="26">
        <v>6</v>
      </c>
      <c r="F11" s="26">
        <v>0</v>
      </c>
      <c r="G11" s="28">
        <f t="shared" si="1"/>
        <v>542</v>
      </c>
      <c r="H11" s="26">
        <v>0</v>
      </c>
      <c r="I11" s="26">
        <v>0</v>
      </c>
      <c r="J11" s="26">
        <v>0</v>
      </c>
      <c r="K11" s="31">
        <v>4</v>
      </c>
      <c r="L11" s="31">
        <v>0</v>
      </c>
      <c r="M11" s="29">
        <v>0</v>
      </c>
      <c r="N11" s="29">
        <v>0</v>
      </c>
      <c r="O11" s="31">
        <v>0</v>
      </c>
      <c r="P11" s="31">
        <v>0</v>
      </c>
      <c r="Q11" s="29"/>
      <c r="R11" s="31">
        <v>0</v>
      </c>
      <c r="S11" s="30">
        <f t="shared" si="0"/>
        <v>546</v>
      </c>
    </row>
    <row r="12" spans="1:19" ht="60">
      <c r="A12" s="26">
        <v>8</v>
      </c>
      <c r="B12" s="161" t="s">
        <v>909</v>
      </c>
      <c r="C12" s="26">
        <v>346</v>
      </c>
      <c r="D12" s="26">
        <v>186</v>
      </c>
      <c r="E12" s="26">
        <v>0</v>
      </c>
      <c r="F12" s="26">
        <v>0</v>
      </c>
      <c r="G12" s="28">
        <f t="shared" si="1"/>
        <v>532</v>
      </c>
      <c r="H12" s="26">
        <v>0</v>
      </c>
      <c r="I12" s="26">
        <v>0</v>
      </c>
      <c r="J12" s="26">
        <v>0</v>
      </c>
      <c r="K12" s="31">
        <v>4</v>
      </c>
      <c r="L12" s="31">
        <v>0</v>
      </c>
      <c r="M12" s="29">
        <v>0</v>
      </c>
      <c r="N12" s="29">
        <v>0</v>
      </c>
      <c r="O12" s="31">
        <v>5</v>
      </c>
      <c r="P12" s="31">
        <v>0</v>
      </c>
      <c r="Q12" s="29"/>
      <c r="R12" s="31">
        <v>0</v>
      </c>
      <c r="S12" s="30">
        <f t="shared" si="0"/>
        <v>541</v>
      </c>
    </row>
    <row r="13" spans="1:19" ht="30">
      <c r="A13" s="26">
        <v>9</v>
      </c>
      <c r="B13" s="161" t="s">
        <v>910</v>
      </c>
      <c r="C13" s="26">
        <v>384</v>
      </c>
      <c r="D13" s="26">
        <v>248</v>
      </c>
      <c r="E13" s="26">
        <v>0</v>
      </c>
      <c r="F13" s="26">
        <v>0</v>
      </c>
      <c r="G13" s="28">
        <f t="shared" si="1"/>
        <v>632</v>
      </c>
      <c r="H13" s="26">
        <v>0</v>
      </c>
      <c r="I13" s="26">
        <v>0</v>
      </c>
      <c r="J13" s="26">
        <v>0</v>
      </c>
      <c r="K13" s="31">
        <v>0</v>
      </c>
      <c r="L13" s="31">
        <v>0</v>
      </c>
      <c r="M13" s="29">
        <v>5</v>
      </c>
      <c r="N13" s="29">
        <v>5</v>
      </c>
      <c r="O13" s="31">
        <v>5</v>
      </c>
      <c r="P13" s="31">
        <v>0</v>
      </c>
      <c r="Q13" s="29"/>
      <c r="R13" s="31">
        <v>0</v>
      </c>
      <c r="S13" s="30">
        <f t="shared" si="0"/>
        <v>647</v>
      </c>
    </row>
    <row r="14" spans="1:19" ht="45">
      <c r="A14" s="26">
        <v>10</v>
      </c>
      <c r="B14" s="161" t="s">
        <v>911</v>
      </c>
      <c r="C14" s="26">
        <v>365</v>
      </c>
      <c r="D14" s="26">
        <v>201</v>
      </c>
      <c r="E14" s="26">
        <v>0</v>
      </c>
      <c r="F14" s="26">
        <v>0</v>
      </c>
      <c r="G14" s="28">
        <f t="shared" si="1"/>
        <v>566</v>
      </c>
      <c r="H14" s="26">
        <v>0</v>
      </c>
      <c r="I14" s="26">
        <v>0</v>
      </c>
      <c r="J14" s="26">
        <v>0</v>
      </c>
      <c r="K14" s="31">
        <v>0</v>
      </c>
      <c r="L14" s="31">
        <v>0</v>
      </c>
      <c r="M14" s="29">
        <v>0</v>
      </c>
      <c r="N14" s="29">
        <v>0</v>
      </c>
      <c r="O14" s="31">
        <v>5</v>
      </c>
      <c r="P14" s="31">
        <v>0</v>
      </c>
      <c r="Q14" s="29"/>
      <c r="R14" s="31">
        <v>0</v>
      </c>
      <c r="S14" s="30">
        <f t="shared" si="0"/>
        <v>571</v>
      </c>
    </row>
    <row r="15" spans="1:19" ht="30">
      <c r="A15" s="32">
        <v>11</v>
      </c>
      <c r="B15" s="161" t="s">
        <v>912</v>
      </c>
      <c r="C15" s="26">
        <v>113</v>
      </c>
      <c r="D15" s="26">
        <v>378</v>
      </c>
      <c r="E15" s="26">
        <v>0</v>
      </c>
      <c r="F15" s="32">
        <v>0</v>
      </c>
      <c r="G15" s="28">
        <f t="shared" si="1"/>
        <v>491</v>
      </c>
      <c r="H15" s="32">
        <v>0</v>
      </c>
      <c r="I15" s="32">
        <v>0</v>
      </c>
      <c r="J15" s="32">
        <v>0</v>
      </c>
      <c r="K15" s="34">
        <v>0</v>
      </c>
      <c r="L15" s="34">
        <v>0</v>
      </c>
      <c r="M15" s="32">
        <v>0</v>
      </c>
      <c r="N15" s="32">
        <v>0</v>
      </c>
      <c r="O15" s="34">
        <v>0</v>
      </c>
      <c r="P15" s="34">
        <v>0</v>
      </c>
      <c r="Q15" s="32"/>
      <c r="R15" s="34">
        <v>0</v>
      </c>
      <c r="S15" s="30">
        <f t="shared" si="0"/>
        <v>491</v>
      </c>
    </row>
    <row r="16" spans="1:19" ht="30">
      <c r="A16" s="32">
        <v>12</v>
      </c>
      <c r="B16" s="161" t="s">
        <v>913</v>
      </c>
      <c r="C16" s="26">
        <v>117</v>
      </c>
      <c r="D16" s="26">
        <v>319</v>
      </c>
      <c r="E16" s="26">
        <v>0</v>
      </c>
      <c r="F16" s="32">
        <v>0</v>
      </c>
      <c r="G16" s="28">
        <f t="shared" si="1"/>
        <v>436</v>
      </c>
      <c r="H16" s="32">
        <v>0</v>
      </c>
      <c r="I16" s="32">
        <v>0</v>
      </c>
      <c r="J16" s="32">
        <v>0</v>
      </c>
      <c r="K16" s="34">
        <v>0</v>
      </c>
      <c r="L16" s="34">
        <v>0</v>
      </c>
      <c r="M16" s="32">
        <v>0</v>
      </c>
      <c r="N16" s="32">
        <v>0</v>
      </c>
      <c r="O16" s="34">
        <v>0</v>
      </c>
      <c r="P16" s="34">
        <v>0</v>
      </c>
      <c r="Q16" s="32"/>
      <c r="R16" s="34">
        <v>0</v>
      </c>
      <c r="S16" s="30">
        <f t="shared" si="0"/>
        <v>436</v>
      </c>
    </row>
    <row r="17" spans="1:19" ht="45">
      <c r="A17" s="26">
        <v>13</v>
      </c>
      <c r="B17" s="161" t="s">
        <v>914</v>
      </c>
      <c r="C17" s="26">
        <v>389</v>
      </c>
      <c r="D17" s="26">
        <v>264</v>
      </c>
      <c r="E17" s="26">
        <v>0</v>
      </c>
      <c r="F17" s="26">
        <v>0</v>
      </c>
      <c r="G17" s="28">
        <f t="shared" si="1"/>
        <v>653</v>
      </c>
      <c r="H17" s="26">
        <v>0</v>
      </c>
      <c r="I17" s="26">
        <v>0</v>
      </c>
      <c r="J17" s="26">
        <v>0</v>
      </c>
      <c r="K17" s="31">
        <v>0</v>
      </c>
      <c r="L17" s="31">
        <v>0</v>
      </c>
      <c r="M17" s="29">
        <v>5</v>
      </c>
      <c r="N17" s="29">
        <v>4</v>
      </c>
      <c r="O17" s="31">
        <v>5</v>
      </c>
      <c r="P17" s="31">
        <v>5</v>
      </c>
      <c r="Q17" s="29"/>
      <c r="R17" s="31">
        <v>0</v>
      </c>
      <c r="S17" s="30">
        <f t="shared" si="0"/>
        <v>672</v>
      </c>
    </row>
    <row r="18" spans="1:19" ht="45">
      <c r="A18" s="32">
        <v>14</v>
      </c>
      <c r="B18" s="161" t="s">
        <v>915</v>
      </c>
      <c r="C18" s="26">
        <v>132</v>
      </c>
      <c r="D18" s="26">
        <v>254</v>
      </c>
      <c r="E18" s="26">
        <v>0</v>
      </c>
      <c r="F18" s="32">
        <v>0</v>
      </c>
      <c r="G18" s="28">
        <f t="shared" si="1"/>
        <v>386</v>
      </c>
      <c r="H18" s="32">
        <v>0</v>
      </c>
      <c r="I18" s="32">
        <v>0</v>
      </c>
      <c r="J18" s="32">
        <v>0</v>
      </c>
      <c r="K18" s="34">
        <v>0</v>
      </c>
      <c r="L18" s="34">
        <v>0</v>
      </c>
      <c r="M18" s="32">
        <v>0</v>
      </c>
      <c r="N18" s="32">
        <v>0</v>
      </c>
      <c r="O18" s="34">
        <v>0</v>
      </c>
      <c r="P18" s="34">
        <v>0</v>
      </c>
      <c r="Q18" s="32"/>
      <c r="R18" s="34">
        <v>0</v>
      </c>
      <c r="S18" s="30">
        <f t="shared" si="0"/>
        <v>386</v>
      </c>
    </row>
    <row r="19" spans="1:19" ht="45">
      <c r="A19" s="26">
        <v>15</v>
      </c>
      <c r="B19" s="161" t="s">
        <v>916</v>
      </c>
      <c r="C19" s="26">
        <v>334</v>
      </c>
      <c r="D19" s="26">
        <v>272</v>
      </c>
      <c r="E19" s="26">
        <v>0</v>
      </c>
      <c r="F19" s="26">
        <v>0</v>
      </c>
      <c r="G19" s="28">
        <f t="shared" si="1"/>
        <v>606</v>
      </c>
      <c r="H19" s="26">
        <v>0</v>
      </c>
      <c r="I19" s="26">
        <v>0</v>
      </c>
      <c r="J19" s="26">
        <v>0</v>
      </c>
      <c r="K19" s="31">
        <v>0</v>
      </c>
      <c r="L19" s="31">
        <v>0</v>
      </c>
      <c r="M19" s="29">
        <v>0</v>
      </c>
      <c r="N19" s="29">
        <v>0</v>
      </c>
      <c r="O19" s="31">
        <v>0</v>
      </c>
      <c r="P19" s="31">
        <v>0</v>
      </c>
      <c r="Q19" s="29"/>
      <c r="R19" s="31">
        <v>0</v>
      </c>
      <c r="S19" s="30">
        <f t="shared" si="0"/>
        <v>606</v>
      </c>
    </row>
    <row r="20" spans="1:19" ht="75">
      <c r="A20" s="26">
        <v>16</v>
      </c>
      <c r="B20" s="161" t="s">
        <v>917</v>
      </c>
      <c r="C20" s="26">
        <v>336</v>
      </c>
      <c r="D20" s="26">
        <v>274</v>
      </c>
      <c r="E20" s="26">
        <v>0</v>
      </c>
      <c r="F20" s="26">
        <v>0</v>
      </c>
      <c r="G20" s="28">
        <f t="shared" si="1"/>
        <v>610</v>
      </c>
      <c r="H20" s="26">
        <v>0</v>
      </c>
      <c r="I20" s="26">
        <v>0</v>
      </c>
      <c r="J20" s="26">
        <v>0</v>
      </c>
      <c r="K20" s="31">
        <v>0</v>
      </c>
      <c r="L20" s="31">
        <v>0</v>
      </c>
      <c r="M20" s="29">
        <v>0</v>
      </c>
      <c r="N20" s="29">
        <v>0</v>
      </c>
      <c r="O20" s="31">
        <v>0</v>
      </c>
      <c r="P20" s="31">
        <v>0</v>
      </c>
      <c r="Q20" s="29"/>
      <c r="R20" s="31">
        <v>0</v>
      </c>
      <c r="S20" s="30">
        <f t="shared" si="0"/>
        <v>610</v>
      </c>
    </row>
    <row r="21" spans="1:19" ht="45">
      <c r="A21" s="26">
        <v>17</v>
      </c>
      <c r="B21" s="161" t="s">
        <v>918</v>
      </c>
      <c r="C21" s="26">
        <v>397</v>
      </c>
      <c r="D21" s="26">
        <v>221</v>
      </c>
      <c r="E21" s="26">
        <v>0</v>
      </c>
      <c r="F21" s="26">
        <v>0</v>
      </c>
      <c r="G21" s="28">
        <f t="shared" si="1"/>
        <v>618</v>
      </c>
      <c r="H21" s="26">
        <v>0</v>
      </c>
      <c r="I21" s="26">
        <v>0</v>
      </c>
      <c r="J21" s="26">
        <v>0</v>
      </c>
      <c r="K21" s="31">
        <v>0</v>
      </c>
      <c r="L21" s="31">
        <v>0</v>
      </c>
      <c r="M21" s="29">
        <v>0</v>
      </c>
      <c r="N21" s="29">
        <v>0</v>
      </c>
      <c r="O21" s="31">
        <v>0</v>
      </c>
      <c r="P21" s="31">
        <v>0</v>
      </c>
      <c r="Q21" s="29"/>
      <c r="R21" s="31">
        <v>0</v>
      </c>
      <c r="S21" s="30">
        <f t="shared" si="0"/>
        <v>618</v>
      </c>
    </row>
    <row r="22" spans="1:19" ht="45">
      <c r="A22" s="26">
        <v>18</v>
      </c>
      <c r="B22" s="161" t="s">
        <v>919</v>
      </c>
      <c r="C22" s="26">
        <v>154</v>
      </c>
      <c r="D22" s="26">
        <v>264</v>
      </c>
      <c r="E22" s="26">
        <v>0</v>
      </c>
      <c r="F22" s="26">
        <v>0</v>
      </c>
      <c r="G22" s="28">
        <f t="shared" si="1"/>
        <v>418</v>
      </c>
      <c r="H22" s="26">
        <v>0</v>
      </c>
      <c r="I22" s="26">
        <v>0</v>
      </c>
      <c r="J22" s="26">
        <v>0</v>
      </c>
      <c r="K22" s="31">
        <v>0</v>
      </c>
      <c r="L22" s="31">
        <v>0</v>
      </c>
      <c r="M22" s="29">
        <v>0</v>
      </c>
      <c r="N22" s="29">
        <v>0</v>
      </c>
      <c r="O22" s="31">
        <v>0</v>
      </c>
      <c r="P22" s="31">
        <v>0</v>
      </c>
      <c r="Q22" s="29"/>
      <c r="R22" s="31">
        <v>0</v>
      </c>
      <c r="S22" s="30">
        <f t="shared" si="0"/>
        <v>418</v>
      </c>
    </row>
    <row r="23" spans="1:19" ht="45">
      <c r="A23" s="26">
        <v>19</v>
      </c>
      <c r="B23" s="161" t="s">
        <v>920</v>
      </c>
      <c r="C23" s="26">
        <v>299</v>
      </c>
      <c r="D23" s="26">
        <v>180</v>
      </c>
      <c r="E23" s="26">
        <v>0</v>
      </c>
      <c r="F23" s="26">
        <v>0</v>
      </c>
      <c r="G23" s="28">
        <f t="shared" si="1"/>
        <v>479</v>
      </c>
      <c r="H23" s="26">
        <v>0</v>
      </c>
      <c r="I23" s="26">
        <v>0</v>
      </c>
      <c r="J23" s="26">
        <v>0</v>
      </c>
      <c r="K23" s="31">
        <v>0</v>
      </c>
      <c r="L23" s="31">
        <v>0</v>
      </c>
      <c r="M23" s="29">
        <v>0</v>
      </c>
      <c r="N23" s="29">
        <v>0</v>
      </c>
      <c r="O23" s="31">
        <v>5</v>
      </c>
      <c r="P23" s="31">
        <v>5</v>
      </c>
      <c r="Q23" s="29"/>
      <c r="R23" s="31">
        <v>0</v>
      </c>
      <c r="S23" s="30">
        <f t="shared" si="0"/>
        <v>489</v>
      </c>
    </row>
    <row r="24" spans="1:19" ht="45">
      <c r="A24" s="26">
        <v>20</v>
      </c>
      <c r="B24" s="161" t="s">
        <v>921</v>
      </c>
      <c r="C24" s="26">
        <v>404</v>
      </c>
      <c r="D24" s="26">
        <v>214</v>
      </c>
      <c r="E24" s="26">
        <v>0</v>
      </c>
      <c r="F24" s="26">
        <v>0</v>
      </c>
      <c r="G24" s="28">
        <f t="shared" si="1"/>
        <v>618</v>
      </c>
      <c r="H24" s="26">
        <v>0</v>
      </c>
      <c r="I24" s="26">
        <v>0</v>
      </c>
      <c r="J24" s="26">
        <v>0</v>
      </c>
      <c r="K24" s="31">
        <v>0</v>
      </c>
      <c r="L24" s="31">
        <v>0</v>
      </c>
      <c r="M24" s="29">
        <v>0</v>
      </c>
      <c r="N24" s="29">
        <v>0</v>
      </c>
      <c r="O24" s="31">
        <v>0</v>
      </c>
      <c r="P24" s="31">
        <v>0</v>
      </c>
      <c r="Q24" s="29"/>
      <c r="R24" s="31">
        <v>0</v>
      </c>
      <c r="S24" s="30">
        <f t="shared" si="0"/>
        <v>618</v>
      </c>
    </row>
    <row r="25" spans="1:19" ht="30">
      <c r="A25" s="26">
        <v>21</v>
      </c>
      <c r="B25" s="161" t="s">
        <v>922</v>
      </c>
      <c r="C25" s="8">
        <v>254</v>
      </c>
      <c r="D25" s="8">
        <v>364</v>
      </c>
      <c r="E25" s="26">
        <v>0</v>
      </c>
      <c r="F25" s="26">
        <v>0</v>
      </c>
      <c r="G25" s="28">
        <f t="shared" si="1"/>
        <v>618</v>
      </c>
      <c r="H25" s="26">
        <v>0</v>
      </c>
      <c r="I25" s="26">
        <v>0</v>
      </c>
      <c r="J25" s="26">
        <v>0</v>
      </c>
      <c r="K25" s="31">
        <v>0</v>
      </c>
      <c r="L25" s="31">
        <v>0</v>
      </c>
      <c r="M25" s="29">
        <v>0</v>
      </c>
      <c r="N25" s="29">
        <v>0</v>
      </c>
      <c r="O25" s="31">
        <v>5</v>
      </c>
      <c r="P25" s="31">
        <v>0</v>
      </c>
      <c r="Q25" s="29"/>
      <c r="R25" s="31">
        <v>0</v>
      </c>
      <c r="S25" s="30">
        <f t="shared" si="0"/>
        <v>623</v>
      </c>
    </row>
    <row r="26" spans="1:19" ht="30">
      <c r="A26" s="26">
        <v>22</v>
      </c>
      <c r="B26" s="161" t="s">
        <v>923</v>
      </c>
      <c r="C26" s="8">
        <v>375</v>
      </c>
      <c r="D26" s="8">
        <v>285</v>
      </c>
      <c r="E26" s="26">
        <v>0</v>
      </c>
      <c r="F26" s="26">
        <v>0</v>
      </c>
      <c r="G26" s="28">
        <f t="shared" si="1"/>
        <v>660</v>
      </c>
      <c r="H26" s="26">
        <v>0</v>
      </c>
      <c r="I26" s="26">
        <v>0</v>
      </c>
      <c r="J26" s="26">
        <v>0</v>
      </c>
      <c r="K26" s="31">
        <v>0</v>
      </c>
      <c r="L26" s="31">
        <v>0</v>
      </c>
      <c r="M26" s="29">
        <v>0</v>
      </c>
      <c r="N26" s="29">
        <v>0</v>
      </c>
      <c r="O26" s="31">
        <v>0</v>
      </c>
      <c r="P26" s="31">
        <v>0</v>
      </c>
      <c r="Q26" s="29"/>
      <c r="R26" s="31">
        <v>0</v>
      </c>
      <c r="S26" s="30">
        <f t="shared" si="0"/>
        <v>660</v>
      </c>
    </row>
    <row r="27" spans="1:19" ht="45">
      <c r="A27" s="26">
        <v>23</v>
      </c>
      <c r="B27" s="161" t="s">
        <v>924</v>
      </c>
      <c r="C27" s="8">
        <v>167</v>
      </c>
      <c r="D27" s="8">
        <v>345</v>
      </c>
      <c r="E27" s="26">
        <v>0</v>
      </c>
      <c r="F27" s="26">
        <v>0</v>
      </c>
      <c r="G27" s="28">
        <f t="shared" si="1"/>
        <v>512</v>
      </c>
      <c r="H27" s="26">
        <v>0</v>
      </c>
      <c r="I27" s="26">
        <v>0</v>
      </c>
      <c r="J27" s="26">
        <v>0</v>
      </c>
      <c r="K27" s="31">
        <v>0</v>
      </c>
      <c r="L27" s="31">
        <v>0</v>
      </c>
      <c r="M27" s="29">
        <v>0</v>
      </c>
      <c r="N27" s="29">
        <v>0</v>
      </c>
      <c r="O27" s="31">
        <v>0</v>
      </c>
      <c r="P27" s="31">
        <v>0</v>
      </c>
      <c r="Q27" s="29"/>
      <c r="R27" s="31">
        <v>0</v>
      </c>
      <c r="S27" s="30">
        <f t="shared" si="0"/>
        <v>512</v>
      </c>
    </row>
    <row r="28" spans="1:19" ht="30">
      <c r="A28" s="26">
        <v>24</v>
      </c>
      <c r="B28" s="161" t="s">
        <v>925</v>
      </c>
      <c r="C28" s="8">
        <v>321</v>
      </c>
      <c r="D28" s="8">
        <v>274</v>
      </c>
      <c r="E28" s="26">
        <v>0</v>
      </c>
      <c r="F28" s="26">
        <v>0</v>
      </c>
      <c r="G28" s="28">
        <f t="shared" si="1"/>
        <v>595</v>
      </c>
      <c r="H28" s="26">
        <v>0</v>
      </c>
      <c r="I28" s="26">
        <v>0</v>
      </c>
      <c r="J28" s="26">
        <v>0</v>
      </c>
      <c r="K28" s="31">
        <v>0</v>
      </c>
      <c r="L28" s="31">
        <v>0</v>
      </c>
      <c r="M28" s="29">
        <v>0</v>
      </c>
      <c r="N28" s="29">
        <v>0</v>
      </c>
      <c r="O28" s="31">
        <v>0</v>
      </c>
      <c r="P28" s="31">
        <v>5</v>
      </c>
      <c r="Q28" s="29"/>
      <c r="R28" s="31">
        <v>0</v>
      </c>
      <c r="S28" s="30">
        <f t="shared" si="0"/>
        <v>600</v>
      </c>
    </row>
    <row r="29" spans="1:19" ht="30">
      <c r="A29" s="26">
        <v>25</v>
      </c>
      <c r="B29" s="161" t="s">
        <v>926</v>
      </c>
      <c r="C29" s="8">
        <v>629</v>
      </c>
      <c r="D29" s="8">
        <v>367</v>
      </c>
      <c r="E29" s="26">
        <v>0</v>
      </c>
      <c r="F29" s="26">
        <v>0</v>
      </c>
      <c r="G29" s="28">
        <f t="shared" si="1"/>
        <v>996</v>
      </c>
      <c r="H29" s="26">
        <v>0</v>
      </c>
      <c r="I29" s="26">
        <v>0</v>
      </c>
      <c r="J29" s="26">
        <v>0</v>
      </c>
      <c r="K29" s="31">
        <v>0</v>
      </c>
      <c r="L29" s="31">
        <v>0</v>
      </c>
      <c r="M29" s="29">
        <v>0</v>
      </c>
      <c r="N29" s="29">
        <v>0</v>
      </c>
      <c r="O29" s="31">
        <v>5</v>
      </c>
      <c r="P29" s="31">
        <v>0</v>
      </c>
      <c r="Q29" s="29"/>
      <c r="R29" s="31">
        <v>0</v>
      </c>
      <c r="S29" s="30">
        <f t="shared" si="0"/>
        <v>1001</v>
      </c>
    </row>
    <row r="30" spans="1:19" ht="45">
      <c r="A30" s="26">
        <v>26</v>
      </c>
      <c r="B30" s="161" t="s">
        <v>927</v>
      </c>
      <c r="C30" s="8">
        <v>320</v>
      </c>
      <c r="D30" s="8">
        <v>298</v>
      </c>
      <c r="E30" s="26">
        <v>0</v>
      </c>
      <c r="F30" s="26">
        <v>0</v>
      </c>
      <c r="G30" s="28">
        <f t="shared" si="1"/>
        <v>618</v>
      </c>
      <c r="H30" s="26">
        <v>0</v>
      </c>
      <c r="I30" s="26">
        <v>0</v>
      </c>
      <c r="J30" s="26">
        <v>0</v>
      </c>
      <c r="K30" s="31">
        <v>0</v>
      </c>
      <c r="L30" s="31">
        <v>0</v>
      </c>
      <c r="M30" s="29">
        <v>0</v>
      </c>
      <c r="N30" s="29">
        <v>0</v>
      </c>
      <c r="O30" s="31">
        <v>5</v>
      </c>
      <c r="P30" s="31">
        <v>5</v>
      </c>
      <c r="Q30" s="29"/>
      <c r="R30" s="31">
        <v>0</v>
      </c>
      <c r="S30" s="30">
        <f t="shared" si="0"/>
        <v>628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S13"/>
    </sheetView>
  </sheetViews>
  <sheetFormatPr defaultColWidth="9.140625" defaultRowHeight="15"/>
  <sheetData>
    <row r="1" spans="1:19" ht="15">
      <c r="A1" s="321" t="s">
        <v>928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15">
      <c r="A2" s="230"/>
      <c r="B2" s="230"/>
      <c r="C2" s="230"/>
      <c r="D2" s="230"/>
      <c r="E2" s="230"/>
      <c r="F2" s="230"/>
      <c r="G2" s="231"/>
      <c r="H2" s="232"/>
      <c r="I2" s="232"/>
      <c r="J2" s="232"/>
      <c r="K2" s="232"/>
      <c r="L2" s="232"/>
      <c r="M2" s="232"/>
      <c r="N2" s="232"/>
      <c r="O2" s="232"/>
      <c r="P2" s="233" t="s">
        <v>0</v>
      </c>
      <c r="Q2" s="233"/>
      <c r="R2" s="233"/>
      <c r="S2" s="233">
        <f>SUM(S5:S26)</f>
        <v>4374</v>
      </c>
    </row>
    <row r="3" spans="1:19" ht="76.5">
      <c r="A3" s="375" t="s">
        <v>1</v>
      </c>
      <c r="B3" s="375" t="s">
        <v>2</v>
      </c>
      <c r="C3" s="376" t="s">
        <v>7</v>
      </c>
      <c r="D3" s="376" t="s">
        <v>8</v>
      </c>
      <c r="E3" s="376" t="s">
        <v>9</v>
      </c>
      <c r="F3" s="376" t="s">
        <v>10</v>
      </c>
      <c r="G3" s="378" t="s">
        <v>19</v>
      </c>
      <c r="H3" s="376" t="s">
        <v>11</v>
      </c>
      <c r="I3" s="376" t="s">
        <v>4</v>
      </c>
      <c r="J3" s="376" t="s">
        <v>12</v>
      </c>
      <c r="K3" s="376" t="s">
        <v>13</v>
      </c>
      <c r="L3" s="376" t="s">
        <v>14</v>
      </c>
      <c r="M3" s="376" t="s">
        <v>15</v>
      </c>
      <c r="N3" s="376" t="s">
        <v>16</v>
      </c>
      <c r="O3" s="376" t="s">
        <v>17</v>
      </c>
      <c r="P3" s="376" t="s">
        <v>5</v>
      </c>
      <c r="Q3" s="234" t="s">
        <v>18</v>
      </c>
      <c r="R3" s="376" t="s">
        <v>6</v>
      </c>
      <c r="S3" s="380" t="s">
        <v>3</v>
      </c>
    </row>
    <row r="4" spans="1:19" ht="15.75" thickBot="1">
      <c r="A4" s="375"/>
      <c r="B4" s="375"/>
      <c r="C4" s="377"/>
      <c r="D4" s="377"/>
      <c r="E4" s="377"/>
      <c r="F4" s="377"/>
      <c r="G4" s="379"/>
      <c r="H4" s="377"/>
      <c r="I4" s="377"/>
      <c r="J4" s="377"/>
      <c r="K4" s="377"/>
      <c r="L4" s="377"/>
      <c r="M4" s="377"/>
      <c r="N4" s="377"/>
      <c r="O4" s="377"/>
      <c r="P4" s="377"/>
      <c r="Q4" s="235"/>
      <c r="R4" s="377"/>
      <c r="S4" s="380"/>
    </row>
    <row r="5" spans="1:19" ht="26.25" thickBot="1">
      <c r="A5" s="236">
        <v>1</v>
      </c>
      <c r="B5" s="48" t="s">
        <v>929</v>
      </c>
      <c r="C5" s="236">
        <v>305</v>
      </c>
      <c r="D5" s="236">
        <v>228</v>
      </c>
      <c r="E5" s="236">
        <v>12</v>
      </c>
      <c r="F5" s="236">
        <v>0</v>
      </c>
      <c r="G5" s="237">
        <f>C5+D5+E5-F5</f>
        <v>545</v>
      </c>
      <c r="H5" s="236">
        <v>-100</v>
      </c>
      <c r="I5" s="236"/>
      <c r="J5" s="236"/>
      <c r="K5" s="238">
        <v>10</v>
      </c>
      <c r="L5" s="238">
        <v>5</v>
      </c>
      <c r="M5" s="238">
        <v>55</v>
      </c>
      <c r="N5" s="238">
        <v>3</v>
      </c>
      <c r="O5" s="238"/>
      <c r="P5" s="238"/>
      <c r="Q5" s="238">
        <v>5</v>
      </c>
      <c r="R5" s="238">
        <v>2</v>
      </c>
      <c r="S5" s="239">
        <f>G5+SUM(H5:Q5)</f>
        <v>523</v>
      </c>
    </row>
    <row r="6" spans="1:19" ht="26.25" thickBot="1">
      <c r="A6" s="236">
        <v>2</v>
      </c>
      <c r="B6" s="49" t="s">
        <v>930</v>
      </c>
      <c r="C6" s="236">
        <v>245</v>
      </c>
      <c r="D6" s="236">
        <v>192</v>
      </c>
      <c r="E6" s="236">
        <v>39</v>
      </c>
      <c r="F6" s="236">
        <v>0</v>
      </c>
      <c r="G6" s="237">
        <f>C6+D6+E6-F6</f>
        <v>476</v>
      </c>
      <c r="H6" s="236">
        <v>-70</v>
      </c>
      <c r="I6" s="236"/>
      <c r="J6" s="236"/>
      <c r="K6" s="240"/>
      <c r="L6" s="240">
        <v>5</v>
      </c>
      <c r="M6" s="238">
        <v>55</v>
      </c>
      <c r="N6" s="238">
        <v>3</v>
      </c>
      <c r="O6" s="240"/>
      <c r="P6" s="240"/>
      <c r="Q6" s="238">
        <v>5</v>
      </c>
      <c r="R6" s="240">
        <v>2</v>
      </c>
      <c r="S6" s="239">
        <f aca="true" t="shared" si="0" ref="S6:S13">G6+SUM(H6:Q6)</f>
        <v>474</v>
      </c>
    </row>
    <row r="7" spans="1:19" ht="26.25" thickBot="1">
      <c r="A7" s="236">
        <v>3</v>
      </c>
      <c r="B7" s="49" t="s">
        <v>931</v>
      </c>
      <c r="C7" s="236">
        <v>520</v>
      </c>
      <c r="D7" s="236">
        <v>52</v>
      </c>
      <c r="E7" s="236">
        <v>3</v>
      </c>
      <c r="F7" s="236">
        <v>0</v>
      </c>
      <c r="G7" s="237">
        <f aca="true" t="shared" si="1" ref="G7:G13">C7+D7+E7-F7</f>
        <v>575</v>
      </c>
      <c r="H7" s="236"/>
      <c r="I7" s="236"/>
      <c r="J7" s="236"/>
      <c r="K7" s="240"/>
      <c r="L7" s="240">
        <v>5</v>
      </c>
      <c r="M7" s="238">
        <v>55</v>
      </c>
      <c r="N7" s="238">
        <v>3</v>
      </c>
      <c r="O7" s="240"/>
      <c r="P7" s="240"/>
      <c r="Q7" s="238">
        <v>5</v>
      </c>
      <c r="R7" s="240">
        <v>2</v>
      </c>
      <c r="S7" s="239">
        <f t="shared" si="0"/>
        <v>643</v>
      </c>
    </row>
    <row r="8" spans="1:19" ht="26.25" thickBot="1">
      <c r="A8" s="236">
        <v>4</v>
      </c>
      <c r="B8" s="49" t="s">
        <v>932</v>
      </c>
      <c r="C8" s="236">
        <v>335</v>
      </c>
      <c r="D8" s="236">
        <v>172</v>
      </c>
      <c r="E8" s="236">
        <v>3</v>
      </c>
      <c r="F8" s="236">
        <v>0</v>
      </c>
      <c r="G8" s="237">
        <f t="shared" si="1"/>
        <v>510</v>
      </c>
      <c r="H8" s="236">
        <v>-50</v>
      </c>
      <c r="I8" s="236"/>
      <c r="J8" s="236"/>
      <c r="K8" s="240"/>
      <c r="L8" s="240">
        <v>5</v>
      </c>
      <c r="M8" s="238">
        <v>55</v>
      </c>
      <c r="N8" s="238">
        <v>3</v>
      </c>
      <c r="O8" s="240"/>
      <c r="P8" s="240"/>
      <c r="Q8" s="238">
        <v>5</v>
      </c>
      <c r="R8" s="240"/>
      <c r="S8" s="239">
        <f t="shared" si="0"/>
        <v>528</v>
      </c>
    </row>
    <row r="9" spans="1:19" ht="26.25" thickBot="1">
      <c r="A9" s="236">
        <v>5</v>
      </c>
      <c r="B9" s="49" t="s">
        <v>933</v>
      </c>
      <c r="C9" s="236">
        <v>45</v>
      </c>
      <c r="D9" s="236">
        <v>120</v>
      </c>
      <c r="E9" s="236">
        <v>162</v>
      </c>
      <c r="F9" s="236">
        <v>-24</v>
      </c>
      <c r="G9" s="237">
        <f t="shared" si="1"/>
        <v>351</v>
      </c>
      <c r="H9" s="236">
        <v>-100</v>
      </c>
      <c r="I9" s="236"/>
      <c r="J9" s="236"/>
      <c r="K9" s="240"/>
      <c r="L9" s="240">
        <v>5</v>
      </c>
      <c r="M9" s="238">
        <v>55</v>
      </c>
      <c r="N9" s="238"/>
      <c r="O9" s="240">
        <v>-5</v>
      </c>
      <c r="P9" s="240"/>
      <c r="Q9" s="238">
        <v>5</v>
      </c>
      <c r="R9" s="240"/>
      <c r="S9" s="239">
        <f t="shared" si="0"/>
        <v>311</v>
      </c>
    </row>
    <row r="10" spans="1:19" ht="26.25" thickBot="1">
      <c r="A10" s="236">
        <v>6</v>
      </c>
      <c r="B10" s="49" t="s">
        <v>934</v>
      </c>
      <c r="C10" s="236">
        <v>205</v>
      </c>
      <c r="D10" s="236">
        <v>240</v>
      </c>
      <c r="E10" s="236">
        <v>27</v>
      </c>
      <c r="F10" s="236">
        <v>-2</v>
      </c>
      <c r="G10" s="237">
        <f t="shared" si="1"/>
        <v>474</v>
      </c>
      <c r="H10" s="236">
        <v>-70</v>
      </c>
      <c r="I10" s="236"/>
      <c r="J10" s="236"/>
      <c r="K10" s="240"/>
      <c r="L10" s="240">
        <v>5</v>
      </c>
      <c r="M10" s="238">
        <v>55</v>
      </c>
      <c r="N10" s="238"/>
      <c r="O10" s="240"/>
      <c r="P10" s="240"/>
      <c r="Q10" s="238">
        <v>5</v>
      </c>
      <c r="R10" s="240"/>
      <c r="S10" s="239">
        <f t="shared" si="0"/>
        <v>469</v>
      </c>
    </row>
    <row r="11" spans="1:19" ht="26.25" thickBot="1">
      <c r="A11" s="236">
        <v>7</v>
      </c>
      <c r="B11" s="49" t="s">
        <v>935</v>
      </c>
      <c r="C11" s="236">
        <v>230</v>
      </c>
      <c r="D11" s="236">
        <v>196</v>
      </c>
      <c r="E11" s="236">
        <v>21</v>
      </c>
      <c r="F11" s="236">
        <v>0</v>
      </c>
      <c r="G11" s="237">
        <f t="shared" si="1"/>
        <v>447</v>
      </c>
      <c r="H11" s="236">
        <v>-50</v>
      </c>
      <c r="I11" s="236"/>
      <c r="J11" s="236"/>
      <c r="K11" s="240"/>
      <c r="L11" s="240">
        <v>5</v>
      </c>
      <c r="M11" s="238">
        <v>55</v>
      </c>
      <c r="N11" s="238"/>
      <c r="O11" s="240"/>
      <c r="P11" s="240"/>
      <c r="Q11" s="238">
        <v>5</v>
      </c>
      <c r="R11" s="240"/>
      <c r="S11" s="239">
        <f t="shared" si="0"/>
        <v>462</v>
      </c>
    </row>
    <row r="12" spans="1:19" ht="26.25" thickBot="1">
      <c r="A12" s="236">
        <v>8</v>
      </c>
      <c r="B12" s="49" t="s">
        <v>936</v>
      </c>
      <c r="C12" s="236">
        <v>345</v>
      </c>
      <c r="D12" s="236">
        <v>148</v>
      </c>
      <c r="E12" s="236">
        <v>12</v>
      </c>
      <c r="F12" s="236">
        <v>-2</v>
      </c>
      <c r="G12" s="237">
        <f t="shared" si="1"/>
        <v>507</v>
      </c>
      <c r="H12" s="236">
        <v>-70</v>
      </c>
      <c r="I12" s="236"/>
      <c r="J12" s="236"/>
      <c r="K12" s="240"/>
      <c r="L12" s="240">
        <v>5</v>
      </c>
      <c r="M12" s="238">
        <v>55</v>
      </c>
      <c r="N12" s="238">
        <v>3</v>
      </c>
      <c r="O12" s="240"/>
      <c r="P12" s="240"/>
      <c r="Q12" s="238">
        <v>5</v>
      </c>
      <c r="R12" s="240">
        <v>2</v>
      </c>
      <c r="S12" s="239">
        <f t="shared" si="0"/>
        <v>505</v>
      </c>
    </row>
    <row r="13" spans="1:19" ht="26.25" thickBot="1">
      <c r="A13" s="241">
        <v>9</v>
      </c>
      <c r="B13" s="242" t="s">
        <v>937</v>
      </c>
      <c r="C13" s="236">
        <v>225</v>
      </c>
      <c r="D13" s="236">
        <v>216</v>
      </c>
      <c r="E13" s="236">
        <v>21</v>
      </c>
      <c r="F13" s="241">
        <v>-2</v>
      </c>
      <c r="G13" s="237">
        <f t="shared" si="1"/>
        <v>464</v>
      </c>
      <c r="H13" s="241">
        <v>-70</v>
      </c>
      <c r="I13" s="241"/>
      <c r="J13" s="241"/>
      <c r="K13" s="243"/>
      <c r="L13" s="243">
        <v>5</v>
      </c>
      <c r="M13" s="241">
        <v>55</v>
      </c>
      <c r="N13" s="241"/>
      <c r="O13" s="243"/>
      <c r="P13" s="243"/>
      <c r="Q13" s="241">
        <v>5</v>
      </c>
      <c r="R13" s="243"/>
      <c r="S13" s="239">
        <f t="shared" si="0"/>
        <v>459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S30"/>
    </sheetView>
  </sheetViews>
  <sheetFormatPr defaultColWidth="9.140625" defaultRowHeight="15"/>
  <sheetData>
    <row r="1" spans="1:19" ht="18.75">
      <c r="A1" s="303" t="s">
        <v>938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SUM(S5:S28)</f>
        <v>9447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55" t="s">
        <v>939</v>
      </c>
      <c r="C5" s="26">
        <v>130</v>
      </c>
      <c r="D5" s="26">
        <v>172</v>
      </c>
      <c r="E5" s="26">
        <v>54</v>
      </c>
      <c r="F5" s="26">
        <v>16</v>
      </c>
      <c r="G5" s="28">
        <f>C5+D5+E5</f>
        <v>356</v>
      </c>
      <c r="H5" s="26"/>
      <c r="I5" s="26"/>
      <c r="J5" s="26"/>
      <c r="K5" s="29"/>
      <c r="L5" s="29">
        <v>5</v>
      </c>
      <c r="M5" s="29">
        <v>10</v>
      </c>
      <c r="N5" s="29"/>
      <c r="O5" s="29"/>
      <c r="P5" s="29"/>
      <c r="Q5" s="29">
        <v>10</v>
      </c>
      <c r="R5" s="29"/>
      <c r="S5" s="30">
        <f>G5+L5+M5+Q5</f>
        <v>381</v>
      </c>
    </row>
    <row r="6" spans="1:19" ht="15.75" thickBot="1">
      <c r="A6" s="26">
        <v>2</v>
      </c>
      <c r="B6" s="55" t="s">
        <v>940</v>
      </c>
      <c r="C6" s="26">
        <v>410</v>
      </c>
      <c r="D6" s="26">
        <v>140</v>
      </c>
      <c r="E6" s="26">
        <v>3</v>
      </c>
      <c r="F6" s="26"/>
      <c r="G6" s="28">
        <f>C6+D6+E6</f>
        <v>553</v>
      </c>
      <c r="H6" s="26"/>
      <c r="I6" s="26"/>
      <c r="J6" s="26"/>
      <c r="K6" s="31"/>
      <c r="L6" s="31"/>
      <c r="M6" s="29">
        <v>15</v>
      </c>
      <c r="N6" s="29">
        <v>3</v>
      </c>
      <c r="O6" s="31"/>
      <c r="P6" s="31"/>
      <c r="Q6" s="29">
        <v>10</v>
      </c>
      <c r="R6" s="31"/>
      <c r="S6" s="30">
        <f>G6+M6+N6+Q6</f>
        <v>581</v>
      </c>
    </row>
    <row r="7" spans="1:19" ht="60.75" thickBot="1">
      <c r="A7" s="26">
        <v>3</v>
      </c>
      <c r="B7" s="244" t="s">
        <v>941</v>
      </c>
      <c r="C7" s="26">
        <v>280</v>
      </c>
      <c r="D7" s="26">
        <v>224</v>
      </c>
      <c r="E7" s="26">
        <v>15</v>
      </c>
      <c r="F7" s="26"/>
      <c r="G7" s="28">
        <f>C7+D7+E7</f>
        <v>519</v>
      </c>
      <c r="H7" s="26">
        <v>-10</v>
      </c>
      <c r="I7" s="26"/>
      <c r="J7" s="26"/>
      <c r="K7" s="31">
        <v>30</v>
      </c>
      <c r="L7" s="31"/>
      <c r="M7" s="29">
        <v>5</v>
      </c>
      <c r="N7" s="29">
        <v>3</v>
      </c>
      <c r="O7" s="31"/>
      <c r="P7" s="31"/>
      <c r="Q7" s="29">
        <v>10</v>
      </c>
      <c r="R7" s="31"/>
      <c r="S7" s="30">
        <v>542</v>
      </c>
    </row>
    <row r="8" spans="1:19" ht="75.75" thickBot="1">
      <c r="A8" s="26">
        <v>4</v>
      </c>
      <c r="B8" s="245" t="s">
        <v>942</v>
      </c>
      <c r="C8" s="26">
        <v>51</v>
      </c>
      <c r="D8" s="26">
        <v>28</v>
      </c>
      <c r="E8" s="26">
        <v>5</v>
      </c>
      <c r="F8" s="26"/>
      <c r="G8" s="28">
        <f aca="true" t="shared" si="0" ref="G8:G28">C8+D8+E8</f>
        <v>84</v>
      </c>
      <c r="H8" s="26"/>
      <c r="I8" s="26"/>
      <c r="J8" s="26"/>
      <c r="K8" s="31"/>
      <c r="L8" s="31"/>
      <c r="M8" s="29">
        <v>5</v>
      </c>
      <c r="N8" s="29"/>
      <c r="O8" s="31"/>
      <c r="P8" s="31"/>
      <c r="Q8" s="29">
        <v>5</v>
      </c>
      <c r="R8" s="31"/>
      <c r="S8" s="30">
        <f>G8+M8+Q8</f>
        <v>94</v>
      </c>
    </row>
    <row r="9" spans="1:19" ht="60.75" thickBot="1">
      <c r="A9" s="26">
        <v>5</v>
      </c>
      <c r="B9" s="244" t="s">
        <v>943</v>
      </c>
      <c r="C9" s="26">
        <v>215</v>
      </c>
      <c r="D9" s="26">
        <v>200</v>
      </c>
      <c r="E9" s="26">
        <v>18</v>
      </c>
      <c r="F9" s="26"/>
      <c r="G9" s="28">
        <f t="shared" si="0"/>
        <v>433</v>
      </c>
      <c r="H9" s="26"/>
      <c r="I9" s="26"/>
      <c r="J9" s="26"/>
      <c r="K9" s="31"/>
      <c r="L9" s="31"/>
      <c r="M9" s="29">
        <v>10</v>
      </c>
      <c r="N9" s="29"/>
      <c r="O9" s="31"/>
      <c r="P9" s="31"/>
      <c r="Q9" s="29">
        <v>10</v>
      </c>
      <c r="R9" s="31"/>
      <c r="S9" s="30">
        <f>G9+M9+Q9</f>
        <v>453</v>
      </c>
    </row>
    <row r="10" spans="1:19" ht="90.75" thickBot="1">
      <c r="A10" s="26">
        <v>6</v>
      </c>
      <c r="B10" s="245" t="s">
        <v>944</v>
      </c>
      <c r="C10" s="26">
        <v>33</v>
      </c>
      <c r="D10" s="26">
        <v>152</v>
      </c>
      <c r="E10" s="26">
        <v>235</v>
      </c>
      <c r="F10" s="26"/>
      <c r="G10" s="28">
        <f t="shared" si="0"/>
        <v>420</v>
      </c>
      <c r="H10" s="26">
        <v>-40</v>
      </c>
      <c r="I10" s="26"/>
      <c r="J10" s="26"/>
      <c r="K10" s="31"/>
      <c r="L10" s="31"/>
      <c r="M10" s="29">
        <v>5</v>
      </c>
      <c r="N10" s="29"/>
      <c r="O10" s="31"/>
      <c r="P10" s="31"/>
      <c r="Q10" s="29">
        <v>10</v>
      </c>
      <c r="R10" s="31"/>
      <c r="S10" s="30">
        <f>G10+M10+Q10-40</f>
        <v>395</v>
      </c>
    </row>
    <row r="11" spans="1:19" ht="75.75" thickBot="1">
      <c r="A11" s="26">
        <v>7</v>
      </c>
      <c r="B11" s="245" t="s">
        <v>945</v>
      </c>
      <c r="C11" s="26">
        <v>345</v>
      </c>
      <c r="D11" s="26">
        <v>84</v>
      </c>
      <c r="E11" s="26">
        <v>12</v>
      </c>
      <c r="F11" s="26"/>
      <c r="G11" s="28">
        <f t="shared" si="0"/>
        <v>441</v>
      </c>
      <c r="H11" s="26"/>
      <c r="I11" s="26"/>
      <c r="J11" s="26"/>
      <c r="K11" s="31"/>
      <c r="L11" s="31">
        <v>5</v>
      </c>
      <c r="M11" s="29">
        <v>10</v>
      </c>
      <c r="N11" s="29"/>
      <c r="O11" s="31"/>
      <c r="P11" s="31"/>
      <c r="Q11" s="29">
        <v>10</v>
      </c>
      <c r="R11" s="31"/>
      <c r="S11" s="30">
        <f>G11+L11+M11+Q11</f>
        <v>466</v>
      </c>
    </row>
    <row r="12" spans="1:19" ht="60.75" thickBot="1">
      <c r="A12" s="26">
        <v>8</v>
      </c>
      <c r="B12" s="245" t="s">
        <v>946</v>
      </c>
      <c r="C12" s="26">
        <v>135</v>
      </c>
      <c r="D12" s="26">
        <v>220</v>
      </c>
      <c r="E12" s="26">
        <v>30</v>
      </c>
      <c r="F12" s="26"/>
      <c r="G12" s="28">
        <f t="shared" si="0"/>
        <v>385</v>
      </c>
      <c r="H12" s="26"/>
      <c r="I12" s="26"/>
      <c r="J12" s="26"/>
      <c r="K12" s="31"/>
      <c r="L12" s="31">
        <v>5</v>
      </c>
      <c r="M12" s="29">
        <v>10</v>
      </c>
      <c r="N12" s="29"/>
      <c r="O12" s="31"/>
      <c r="P12" s="31"/>
      <c r="Q12" s="29">
        <v>10</v>
      </c>
      <c r="R12" s="31"/>
      <c r="S12" s="30">
        <f>G12+L12+M12+Q12</f>
        <v>410</v>
      </c>
    </row>
    <row r="13" spans="1:19" ht="60.75" thickBot="1">
      <c r="A13" s="32">
        <v>9</v>
      </c>
      <c r="B13" s="245" t="s">
        <v>947</v>
      </c>
      <c r="C13" s="26">
        <v>35</v>
      </c>
      <c r="D13" s="26">
        <v>120</v>
      </c>
      <c r="E13" s="26">
        <v>135</v>
      </c>
      <c r="F13" s="51">
        <v>2</v>
      </c>
      <c r="G13" s="28">
        <v>288</v>
      </c>
      <c r="H13" s="51"/>
      <c r="I13" s="51"/>
      <c r="J13" s="51"/>
      <c r="K13" s="246"/>
      <c r="L13" s="246">
        <v>5</v>
      </c>
      <c r="M13" s="51">
        <v>10</v>
      </c>
      <c r="N13" s="51"/>
      <c r="O13" s="246"/>
      <c r="P13" s="246"/>
      <c r="Q13" s="51">
        <v>10</v>
      </c>
      <c r="R13" s="246"/>
      <c r="S13" s="30">
        <f>G13+L13+M13+Q13</f>
        <v>313</v>
      </c>
    </row>
    <row r="14" spans="1:19" ht="60.75" thickBot="1">
      <c r="A14" s="32">
        <v>10</v>
      </c>
      <c r="B14" s="245" t="s">
        <v>948</v>
      </c>
      <c r="C14" s="26">
        <v>170</v>
      </c>
      <c r="D14" s="26">
        <v>176</v>
      </c>
      <c r="E14" s="26">
        <v>48</v>
      </c>
      <c r="F14" s="51">
        <v>2</v>
      </c>
      <c r="G14" s="28">
        <f>C14+D14+E14-F14</f>
        <v>392</v>
      </c>
      <c r="H14" s="51">
        <v>-60</v>
      </c>
      <c r="I14" s="51"/>
      <c r="J14" s="51"/>
      <c r="K14" s="246"/>
      <c r="L14" s="246"/>
      <c r="M14" s="51">
        <v>5</v>
      </c>
      <c r="N14" s="51"/>
      <c r="O14" s="246"/>
      <c r="P14" s="246"/>
      <c r="Q14" s="51">
        <v>5</v>
      </c>
      <c r="R14" s="246"/>
      <c r="S14" s="30">
        <v>342</v>
      </c>
    </row>
    <row r="15" spans="1:19" ht="60.75" thickBot="1">
      <c r="A15" s="26">
        <v>11</v>
      </c>
      <c r="B15" s="245" t="s">
        <v>949</v>
      </c>
      <c r="C15" s="26">
        <v>125</v>
      </c>
      <c r="D15" s="26">
        <v>185</v>
      </c>
      <c r="E15" s="26">
        <v>39</v>
      </c>
      <c r="F15" s="51"/>
      <c r="G15" s="28">
        <f t="shared" si="0"/>
        <v>349</v>
      </c>
      <c r="H15" s="51">
        <v>-10</v>
      </c>
      <c r="I15" s="51"/>
      <c r="J15" s="51"/>
      <c r="K15" s="246">
        <v>30</v>
      </c>
      <c r="L15" s="246"/>
      <c r="M15" s="51">
        <v>10</v>
      </c>
      <c r="N15" s="51">
        <v>3</v>
      </c>
      <c r="O15" s="246"/>
      <c r="P15" s="246"/>
      <c r="Q15" s="51">
        <v>5</v>
      </c>
      <c r="R15" s="246"/>
      <c r="S15" s="30">
        <v>354</v>
      </c>
    </row>
    <row r="16" spans="1:19" ht="60.75" thickBot="1">
      <c r="A16" s="32">
        <v>12</v>
      </c>
      <c r="B16" s="245" t="s">
        <v>950</v>
      </c>
      <c r="C16" s="26">
        <v>205</v>
      </c>
      <c r="D16" s="26">
        <v>96</v>
      </c>
      <c r="E16" s="26">
        <v>60</v>
      </c>
      <c r="F16" s="51"/>
      <c r="G16" s="28">
        <f t="shared" si="0"/>
        <v>361</v>
      </c>
      <c r="H16" s="51">
        <v>-20</v>
      </c>
      <c r="I16" s="51"/>
      <c r="J16" s="51"/>
      <c r="K16" s="246">
        <v>30</v>
      </c>
      <c r="L16" s="246"/>
      <c r="M16" s="51">
        <v>5</v>
      </c>
      <c r="N16" s="51"/>
      <c r="O16" s="246"/>
      <c r="P16" s="246"/>
      <c r="Q16" s="51">
        <v>5</v>
      </c>
      <c r="R16" s="246"/>
      <c r="S16" s="30">
        <v>351</v>
      </c>
    </row>
    <row r="17" spans="1:19" ht="90.75" thickBot="1">
      <c r="A17" s="26">
        <v>13</v>
      </c>
      <c r="B17" s="245" t="s">
        <v>951</v>
      </c>
      <c r="C17" s="26">
        <v>55</v>
      </c>
      <c r="D17" s="26">
        <v>132</v>
      </c>
      <c r="E17" s="26">
        <v>96</v>
      </c>
      <c r="F17" s="26">
        <v>6</v>
      </c>
      <c r="G17" s="28">
        <f>C17+D17+E17-F17</f>
        <v>277</v>
      </c>
      <c r="H17" s="26"/>
      <c r="I17" s="26"/>
      <c r="J17" s="26"/>
      <c r="K17" s="31"/>
      <c r="L17" s="31"/>
      <c r="M17" s="29">
        <v>5</v>
      </c>
      <c r="N17" s="29"/>
      <c r="O17" s="31"/>
      <c r="P17" s="31"/>
      <c r="Q17" s="29">
        <v>5</v>
      </c>
      <c r="R17" s="31"/>
      <c r="S17" s="30">
        <f aca="true" t="shared" si="1" ref="S17:S25">G17+L17+M17+Q17</f>
        <v>287</v>
      </c>
    </row>
    <row r="18" spans="1:19" ht="60.75" thickBot="1">
      <c r="A18" s="26">
        <v>14</v>
      </c>
      <c r="B18" s="245" t="s">
        <v>952</v>
      </c>
      <c r="C18" s="26">
        <v>140</v>
      </c>
      <c r="D18" s="26">
        <v>184</v>
      </c>
      <c r="E18" s="26">
        <v>63</v>
      </c>
      <c r="F18" s="26"/>
      <c r="G18" s="28">
        <f t="shared" si="0"/>
        <v>387</v>
      </c>
      <c r="H18" s="26"/>
      <c r="I18" s="26"/>
      <c r="J18" s="26"/>
      <c r="K18" s="31"/>
      <c r="L18" s="31">
        <v>5</v>
      </c>
      <c r="M18" s="29">
        <v>5</v>
      </c>
      <c r="N18" s="29"/>
      <c r="O18" s="31"/>
      <c r="P18" s="31"/>
      <c r="Q18" s="29">
        <v>10</v>
      </c>
      <c r="R18" s="31"/>
      <c r="S18" s="30">
        <f t="shared" si="1"/>
        <v>407</v>
      </c>
    </row>
    <row r="19" spans="1:19" ht="60.75" thickBot="1">
      <c r="A19" s="26">
        <v>15</v>
      </c>
      <c r="B19" s="245" t="s">
        <v>953</v>
      </c>
      <c r="C19" s="26">
        <v>72</v>
      </c>
      <c r="D19" s="26">
        <v>184</v>
      </c>
      <c r="E19" s="26">
        <v>155</v>
      </c>
      <c r="F19" s="26"/>
      <c r="G19" s="28">
        <f t="shared" si="0"/>
        <v>411</v>
      </c>
      <c r="H19" s="26"/>
      <c r="I19" s="26"/>
      <c r="J19" s="26"/>
      <c r="K19" s="31"/>
      <c r="L19" s="31"/>
      <c r="M19" s="29">
        <v>10</v>
      </c>
      <c r="N19" s="29"/>
      <c r="O19" s="31"/>
      <c r="P19" s="31"/>
      <c r="Q19" s="29">
        <v>10</v>
      </c>
      <c r="R19" s="31"/>
      <c r="S19" s="30">
        <f t="shared" si="1"/>
        <v>431</v>
      </c>
    </row>
    <row r="20" spans="1:19" ht="90.75" thickBot="1">
      <c r="A20" s="26">
        <v>16</v>
      </c>
      <c r="B20" s="245" t="s">
        <v>954</v>
      </c>
      <c r="C20" s="26">
        <v>135</v>
      </c>
      <c r="D20" s="26">
        <v>192</v>
      </c>
      <c r="E20" s="26">
        <v>51</v>
      </c>
      <c r="F20" s="26"/>
      <c r="G20" s="28">
        <f t="shared" si="0"/>
        <v>378</v>
      </c>
      <c r="H20" s="26"/>
      <c r="I20" s="26"/>
      <c r="J20" s="26"/>
      <c r="K20" s="31"/>
      <c r="L20" s="31"/>
      <c r="M20" s="29">
        <v>5</v>
      </c>
      <c r="N20" s="29"/>
      <c r="O20" s="31"/>
      <c r="P20" s="31"/>
      <c r="Q20" s="29">
        <v>10</v>
      </c>
      <c r="R20" s="31"/>
      <c r="S20" s="30">
        <f t="shared" si="1"/>
        <v>393</v>
      </c>
    </row>
    <row r="21" spans="1:19" ht="60.75" thickBot="1">
      <c r="A21" s="26">
        <v>17</v>
      </c>
      <c r="B21" s="245" t="s">
        <v>955</v>
      </c>
      <c r="C21" s="26">
        <v>135</v>
      </c>
      <c r="D21" s="26">
        <v>172</v>
      </c>
      <c r="E21" s="26">
        <v>51</v>
      </c>
      <c r="F21" s="26"/>
      <c r="G21" s="28">
        <f t="shared" si="0"/>
        <v>358</v>
      </c>
      <c r="H21" s="26"/>
      <c r="I21" s="26"/>
      <c r="J21" s="26"/>
      <c r="K21" s="31"/>
      <c r="L21" s="31"/>
      <c r="M21" s="29">
        <v>5</v>
      </c>
      <c r="N21" s="29"/>
      <c r="O21" s="31"/>
      <c r="P21" s="31"/>
      <c r="Q21" s="29">
        <v>5</v>
      </c>
      <c r="R21" s="31"/>
      <c r="S21" s="30">
        <f t="shared" si="1"/>
        <v>368</v>
      </c>
    </row>
    <row r="22" spans="1:19" ht="90.75" thickBot="1">
      <c r="A22" s="26">
        <v>18</v>
      </c>
      <c r="B22" s="245" t="s">
        <v>956</v>
      </c>
      <c r="C22" s="26">
        <v>135</v>
      </c>
      <c r="D22" s="26">
        <v>192</v>
      </c>
      <c r="E22" s="26">
        <v>54</v>
      </c>
      <c r="F22" s="26"/>
      <c r="G22" s="28">
        <f t="shared" si="0"/>
        <v>381</v>
      </c>
      <c r="H22" s="26"/>
      <c r="I22" s="26"/>
      <c r="J22" s="26"/>
      <c r="K22" s="31"/>
      <c r="L22" s="31"/>
      <c r="M22" s="29">
        <v>5</v>
      </c>
      <c r="N22" s="29"/>
      <c r="O22" s="31"/>
      <c r="P22" s="31"/>
      <c r="Q22" s="29">
        <v>10</v>
      </c>
      <c r="R22" s="31"/>
      <c r="S22" s="30">
        <f t="shared" si="1"/>
        <v>396</v>
      </c>
    </row>
    <row r="23" spans="1:19" ht="75.75" thickBot="1">
      <c r="A23" s="26">
        <v>19</v>
      </c>
      <c r="B23" s="245" t="s">
        <v>957</v>
      </c>
      <c r="C23" s="26">
        <v>140</v>
      </c>
      <c r="D23" s="26">
        <v>164</v>
      </c>
      <c r="E23" s="26">
        <v>84</v>
      </c>
      <c r="F23" s="26">
        <v>-2</v>
      </c>
      <c r="G23" s="28">
        <f t="shared" si="0"/>
        <v>388</v>
      </c>
      <c r="H23" s="26"/>
      <c r="I23" s="26"/>
      <c r="J23" s="26"/>
      <c r="K23" s="31"/>
      <c r="L23" s="31"/>
      <c r="M23" s="29">
        <v>10</v>
      </c>
      <c r="N23" s="29"/>
      <c r="O23" s="31"/>
      <c r="P23" s="31"/>
      <c r="Q23" s="29">
        <v>10</v>
      </c>
      <c r="R23" s="31"/>
      <c r="S23" s="30">
        <f>G23+L23+M23+Q23-2</f>
        <v>406</v>
      </c>
    </row>
    <row r="24" spans="1:19" ht="45.75" thickBot="1">
      <c r="A24" s="26">
        <v>20</v>
      </c>
      <c r="B24" s="245" t="s">
        <v>958</v>
      </c>
      <c r="C24" s="26">
        <v>215</v>
      </c>
      <c r="D24" s="26">
        <v>124</v>
      </c>
      <c r="E24" s="26">
        <v>57</v>
      </c>
      <c r="F24" s="26">
        <v>6</v>
      </c>
      <c r="G24" s="28">
        <f>C24+D24+E24-F24</f>
        <v>390</v>
      </c>
      <c r="H24" s="26">
        <v>-30</v>
      </c>
      <c r="I24" s="26"/>
      <c r="J24" s="26"/>
      <c r="K24" s="31"/>
      <c r="L24" s="31"/>
      <c r="M24" s="29">
        <v>5</v>
      </c>
      <c r="N24" s="29"/>
      <c r="O24" s="31"/>
      <c r="P24" s="31"/>
      <c r="Q24" s="29">
        <v>10</v>
      </c>
      <c r="R24" s="31"/>
      <c r="S24" s="30">
        <v>375</v>
      </c>
    </row>
    <row r="25" spans="1:19" ht="75.75" thickBot="1">
      <c r="A25" s="26">
        <v>21</v>
      </c>
      <c r="B25" s="245" t="s">
        <v>959</v>
      </c>
      <c r="C25" s="8">
        <v>190</v>
      </c>
      <c r="D25" s="8">
        <v>200</v>
      </c>
      <c r="E25" s="26">
        <v>15</v>
      </c>
      <c r="F25" s="26"/>
      <c r="G25" s="28">
        <f t="shared" si="0"/>
        <v>405</v>
      </c>
      <c r="H25" s="26"/>
      <c r="I25" s="26"/>
      <c r="J25" s="26"/>
      <c r="K25" s="31"/>
      <c r="L25" s="31">
        <v>5</v>
      </c>
      <c r="M25" s="29">
        <v>15</v>
      </c>
      <c r="N25" s="29"/>
      <c r="O25" s="31"/>
      <c r="P25" s="31"/>
      <c r="Q25" s="29">
        <v>10</v>
      </c>
      <c r="R25" s="31"/>
      <c r="S25" s="30">
        <f t="shared" si="1"/>
        <v>435</v>
      </c>
    </row>
    <row r="26" spans="1:19" ht="90.75" thickBot="1">
      <c r="A26" s="26">
        <v>22</v>
      </c>
      <c r="B26" s="245" t="s">
        <v>960</v>
      </c>
      <c r="C26" s="8">
        <v>175</v>
      </c>
      <c r="D26" s="8">
        <v>196</v>
      </c>
      <c r="E26" s="26">
        <v>18</v>
      </c>
      <c r="F26" s="26"/>
      <c r="G26" s="28">
        <f t="shared" si="0"/>
        <v>389</v>
      </c>
      <c r="H26" s="26"/>
      <c r="I26" s="26"/>
      <c r="J26" s="26"/>
      <c r="K26" s="31"/>
      <c r="L26" s="31"/>
      <c r="M26" s="29">
        <v>5</v>
      </c>
      <c r="N26" s="29"/>
      <c r="O26" s="31"/>
      <c r="P26" s="31"/>
      <c r="Q26" s="29">
        <v>10</v>
      </c>
      <c r="R26" s="31"/>
      <c r="S26" s="30">
        <f>G26+L26+M26+Q26</f>
        <v>404</v>
      </c>
    </row>
    <row r="27" spans="1:19" ht="60.75" thickBot="1">
      <c r="A27" s="26">
        <v>23</v>
      </c>
      <c r="B27" s="245" t="s">
        <v>961</v>
      </c>
      <c r="C27" s="8">
        <v>255</v>
      </c>
      <c r="D27" s="8">
        <v>144</v>
      </c>
      <c r="E27" s="26">
        <v>24</v>
      </c>
      <c r="F27" s="26"/>
      <c r="G27" s="28">
        <f t="shared" si="0"/>
        <v>423</v>
      </c>
      <c r="H27" s="26"/>
      <c r="I27" s="26"/>
      <c r="J27" s="26"/>
      <c r="K27" s="31"/>
      <c r="L27" s="31"/>
      <c r="M27" s="29">
        <v>10</v>
      </c>
      <c r="N27" s="29"/>
      <c r="O27" s="31"/>
      <c r="P27" s="31"/>
      <c r="Q27" s="29">
        <v>10</v>
      </c>
      <c r="R27" s="31"/>
      <c r="S27" s="30">
        <f>G27+L27+M27+Q27</f>
        <v>443</v>
      </c>
    </row>
    <row r="28" spans="1:19" ht="75.75" thickBot="1">
      <c r="A28" s="26">
        <v>24</v>
      </c>
      <c r="B28" s="245" t="s">
        <v>962</v>
      </c>
      <c r="C28" s="8">
        <v>195</v>
      </c>
      <c r="D28" s="8">
        <v>192</v>
      </c>
      <c r="E28" s="26">
        <v>3</v>
      </c>
      <c r="F28" s="26"/>
      <c r="G28" s="28">
        <f t="shared" si="0"/>
        <v>390</v>
      </c>
      <c r="H28" s="26"/>
      <c r="I28" s="26"/>
      <c r="J28" s="26"/>
      <c r="K28" s="31"/>
      <c r="L28" s="31">
        <v>5</v>
      </c>
      <c r="M28" s="29">
        <v>15</v>
      </c>
      <c r="N28" s="29">
        <v>3</v>
      </c>
      <c r="O28" s="31"/>
      <c r="P28" s="31"/>
      <c r="Q28" s="29">
        <v>10</v>
      </c>
      <c r="R28" s="31"/>
      <c r="S28" s="30">
        <f>G28+L28+M28+Q28</f>
        <v>420</v>
      </c>
    </row>
    <row r="29" spans="1:19" ht="15">
      <c r="A29" s="21"/>
      <c r="B29" s="247"/>
      <c r="C29" s="149"/>
      <c r="D29" s="149"/>
      <c r="E29" s="21"/>
      <c r="F29" s="21"/>
      <c r="G29" s="185"/>
      <c r="H29" s="21"/>
      <c r="I29" s="21"/>
      <c r="J29" s="21"/>
      <c r="K29" s="186"/>
      <c r="L29" s="186"/>
      <c r="M29" s="187"/>
      <c r="N29" s="187"/>
      <c r="O29" s="186"/>
      <c r="P29" s="186"/>
      <c r="Q29" s="187"/>
      <c r="R29" s="186"/>
      <c r="S29" s="188"/>
    </row>
    <row r="30" spans="7:12" ht="15">
      <c r="G30" s="55"/>
      <c r="H30" s="55" t="s">
        <v>20</v>
      </c>
      <c r="I30" s="55"/>
      <c r="J30" s="55"/>
      <c r="K30" s="55" t="s">
        <v>963</v>
      </c>
      <c r="L30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28"/>
    </sheetView>
  </sheetViews>
  <sheetFormatPr defaultColWidth="9.140625" defaultRowHeight="15"/>
  <sheetData>
    <row r="1" spans="1:19" ht="18.75">
      <c r="A1" s="303" t="s">
        <v>964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5">
      <c r="A2" s="148"/>
      <c r="B2" s="148"/>
      <c r="C2" s="148"/>
      <c r="D2" s="148"/>
      <c r="E2" s="148"/>
      <c r="F2" s="148"/>
      <c r="G2" s="149"/>
      <c r="H2" s="3"/>
      <c r="I2" s="3"/>
      <c r="J2" s="3"/>
      <c r="K2" s="3"/>
      <c r="L2" s="3"/>
      <c r="M2" s="3"/>
      <c r="N2" s="3"/>
      <c r="O2" s="3"/>
      <c r="P2" s="150" t="s">
        <v>0</v>
      </c>
      <c r="Q2" s="150"/>
      <c r="R2" s="150"/>
      <c r="S2" s="150">
        <f>SUM(S5:S34)</f>
        <v>16022</v>
      </c>
    </row>
    <row r="3" spans="1:19" ht="76.5">
      <c r="A3" s="352" t="s">
        <v>1</v>
      </c>
      <c r="B3" s="352" t="s">
        <v>2</v>
      </c>
      <c r="C3" s="353" t="s">
        <v>7</v>
      </c>
      <c r="D3" s="353" t="s">
        <v>8</v>
      </c>
      <c r="E3" s="353" t="s">
        <v>9</v>
      </c>
      <c r="F3" s="353" t="s">
        <v>10</v>
      </c>
      <c r="G3" s="301" t="s">
        <v>19</v>
      </c>
      <c r="H3" s="353" t="s">
        <v>11</v>
      </c>
      <c r="I3" s="353" t="s">
        <v>4</v>
      </c>
      <c r="J3" s="353" t="s">
        <v>12</v>
      </c>
      <c r="K3" s="353" t="s">
        <v>13</v>
      </c>
      <c r="L3" s="353" t="s">
        <v>14</v>
      </c>
      <c r="M3" s="353" t="s">
        <v>15</v>
      </c>
      <c r="N3" s="353" t="s">
        <v>16</v>
      </c>
      <c r="O3" s="353" t="s">
        <v>17</v>
      </c>
      <c r="P3" s="353" t="s">
        <v>5</v>
      </c>
      <c r="Q3" s="151" t="s">
        <v>18</v>
      </c>
      <c r="R3" s="353" t="s">
        <v>6</v>
      </c>
      <c r="S3" s="297" t="s">
        <v>3</v>
      </c>
    </row>
    <row r="4" spans="1:19" ht="15">
      <c r="A4" s="352"/>
      <c r="B4" s="352"/>
      <c r="C4" s="299"/>
      <c r="D4" s="299"/>
      <c r="E4" s="299"/>
      <c r="F4" s="299"/>
      <c r="G4" s="302"/>
      <c r="H4" s="299"/>
      <c r="I4" s="299"/>
      <c r="J4" s="299"/>
      <c r="K4" s="299"/>
      <c r="L4" s="299"/>
      <c r="M4" s="299"/>
      <c r="N4" s="299"/>
      <c r="O4" s="299"/>
      <c r="P4" s="299"/>
      <c r="Q4" s="10"/>
      <c r="R4" s="299"/>
      <c r="S4" s="297"/>
    </row>
    <row r="5" spans="1:19" ht="15">
      <c r="A5" s="8">
        <v>1</v>
      </c>
      <c r="B5" s="248" t="s">
        <v>965</v>
      </c>
      <c r="C5" s="8">
        <v>295</v>
      </c>
      <c r="D5" s="8">
        <v>320</v>
      </c>
      <c r="E5" s="8">
        <v>18</v>
      </c>
      <c r="F5" s="8">
        <v>0</v>
      </c>
      <c r="G5" s="153">
        <f>SUM(C5:F5)</f>
        <v>633</v>
      </c>
      <c r="H5" s="8">
        <v>0</v>
      </c>
      <c r="I5" s="8">
        <v>0</v>
      </c>
      <c r="J5" s="8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4">
        <f>SUM(G5:R5)</f>
        <v>633</v>
      </c>
    </row>
    <row r="6" spans="1:19" ht="15.75" thickBot="1">
      <c r="A6" s="8">
        <v>2</v>
      </c>
      <c r="B6" s="249" t="s">
        <v>966</v>
      </c>
      <c r="C6" s="8">
        <v>450</v>
      </c>
      <c r="D6" s="8">
        <v>276</v>
      </c>
      <c r="E6" s="8">
        <v>30</v>
      </c>
      <c r="F6" s="8">
        <v>0</v>
      </c>
      <c r="G6" s="153">
        <f>SUM(C6:F6)</f>
        <v>756</v>
      </c>
      <c r="H6" s="8">
        <v>0</v>
      </c>
      <c r="I6" s="8">
        <v>0</v>
      </c>
      <c r="J6" s="8">
        <v>0</v>
      </c>
      <c r="K6" s="7">
        <v>0</v>
      </c>
      <c r="L6" s="7">
        <v>5</v>
      </c>
      <c r="M6" s="154">
        <v>0</v>
      </c>
      <c r="N6" s="154">
        <v>3</v>
      </c>
      <c r="O6" s="7">
        <v>0</v>
      </c>
      <c r="P6" s="7">
        <v>0</v>
      </c>
      <c r="Q6" s="154">
        <v>0</v>
      </c>
      <c r="R6" s="7">
        <v>0</v>
      </c>
      <c r="S6" s="14">
        <f>SUM(G6:R6)</f>
        <v>764</v>
      </c>
    </row>
    <row r="7" spans="1:19" ht="24" thickBot="1">
      <c r="A7" s="8">
        <v>3</v>
      </c>
      <c r="B7" s="250" t="s">
        <v>967</v>
      </c>
      <c r="C7" s="8">
        <v>515</v>
      </c>
      <c r="D7" s="8">
        <v>124</v>
      </c>
      <c r="E7" s="8">
        <v>15</v>
      </c>
      <c r="F7" s="8">
        <v>0</v>
      </c>
      <c r="G7" s="153">
        <f>SUM(C7:F7)</f>
        <v>654</v>
      </c>
      <c r="H7" s="8">
        <v>0</v>
      </c>
      <c r="I7" s="8">
        <v>0</v>
      </c>
      <c r="J7" s="8">
        <v>0</v>
      </c>
      <c r="K7" s="7">
        <v>0</v>
      </c>
      <c r="L7" s="7">
        <v>0</v>
      </c>
      <c r="M7" s="154">
        <v>0</v>
      </c>
      <c r="N7" s="154">
        <v>0</v>
      </c>
      <c r="O7" s="7">
        <v>0</v>
      </c>
      <c r="P7" s="7">
        <v>0</v>
      </c>
      <c r="Q7" s="154">
        <v>0</v>
      </c>
      <c r="R7" s="7">
        <v>0</v>
      </c>
      <c r="S7" s="14">
        <f>SUM(G7:R7)</f>
        <v>654</v>
      </c>
    </row>
    <row r="8" spans="1:19" ht="15.75" thickBot="1">
      <c r="A8" s="8">
        <v>4</v>
      </c>
      <c r="B8" s="249" t="s">
        <v>968</v>
      </c>
      <c r="C8" s="8">
        <v>115</v>
      </c>
      <c r="D8" s="8">
        <v>296</v>
      </c>
      <c r="E8" s="8">
        <v>48</v>
      </c>
      <c r="F8" s="8">
        <v>-2</v>
      </c>
      <c r="G8" s="153">
        <f aca="true" t="shared" si="0" ref="G8:G28">SUM(C8:F8)</f>
        <v>457</v>
      </c>
      <c r="H8" s="8">
        <v>0</v>
      </c>
      <c r="I8" s="8">
        <v>0</v>
      </c>
      <c r="J8" s="8">
        <v>0</v>
      </c>
      <c r="K8" s="7">
        <v>0</v>
      </c>
      <c r="L8" s="7">
        <v>0</v>
      </c>
      <c r="M8" s="154">
        <v>0</v>
      </c>
      <c r="N8" s="154">
        <v>0</v>
      </c>
      <c r="O8" s="7">
        <v>0</v>
      </c>
      <c r="P8" s="7">
        <v>0</v>
      </c>
      <c r="Q8" s="154">
        <v>0</v>
      </c>
      <c r="R8" s="7">
        <v>0</v>
      </c>
      <c r="S8" s="14">
        <f>SUM(G8:R8)</f>
        <v>457</v>
      </c>
    </row>
    <row r="9" spans="1:19" ht="24" thickBot="1">
      <c r="A9" s="8">
        <v>5</v>
      </c>
      <c r="B9" s="250" t="s">
        <v>969</v>
      </c>
      <c r="C9" s="8">
        <v>475</v>
      </c>
      <c r="D9" s="8">
        <v>172</v>
      </c>
      <c r="E9" s="8">
        <v>15</v>
      </c>
      <c r="F9" s="8">
        <v>-2</v>
      </c>
      <c r="G9" s="153">
        <f t="shared" si="0"/>
        <v>660</v>
      </c>
      <c r="H9" s="8">
        <v>0</v>
      </c>
      <c r="I9" s="8">
        <v>0</v>
      </c>
      <c r="J9" s="8">
        <v>0</v>
      </c>
      <c r="K9" s="7">
        <v>20</v>
      </c>
      <c r="L9" s="7">
        <v>0</v>
      </c>
      <c r="M9" s="154">
        <v>0</v>
      </c>
      <c r="N9" s="154">
        <v>8</v>
      </c>
      <c r="O9" s="7">
        <v>0</v>
      </c>
      <c r="P9" s="7">
        <v>0</v>
      </c>
      <c r="Q9" s="154">
        <v>0</v>
      </c>
      <c r="R9" s="7">
        <v>0</v>
      </c>
      <c r="S9" s="14">
        <f aca="true" t="shared" si="1" ref="S9:S28">SUM(G9:R9)</f>
        <v>688</v>
      </c>
    </row>
    <row r="10" spans="1:19" ht="15.75" thickBot="1">
      <c r="A10" s="8">
        <v>6</v>
      </c>
      <c r="B10" s="249" t="s">
        <v>970</v>
      </c>
      <c r="C10" s="8">
        <v>300</v>
      </c>
      <c r="D10" s="8">
        <v>136</v>
      </c>
      <c r="E10" s="8">
        <v>0</v>
      </c>
      <c r="F10" s="8">
        <v>0</v>
      </c>
      <c r="G10" s="153">
        <f t="shared" si="0"/>
        <v>436</v>
      </c>
      <c r="H10" s="8">
        <v>0</v>
      </c>
      <c r="I10" s="8">
        <v>0</v>
      </c>
      <c r="J10" s="8">
        <v>0</v>
      </c>
      <c r="K10" s="7">
        <v>0</v>
      </c>
      <c r="L10" s="7">
        <v>0</v>
      </c>
      <c r="M10" s="154">
        <v>0</v>
      </c>
      <c r="N10" s="154">
        <v>0</v>
      </c>
      <c r="O10" s="7">
        <v>0</v>
      </c>
      <c r="P10" s="7">
        <v>0</v>
      </c>
      <c r="Q10" s="154">
        <v>0</v>
      </c>
      <c r="R10" s="7">
        <v>0</v>
      </c>
      <c r="S10" s="14">
        <f t="shared" si="1"/>
        <v>436</v>
      </c>
    </row>
    <row r="11" spans="1:19" ht="15.75" thickBot="1">
      <c r="A11" s="8">
        <v>7</v>
      </c>
      <c r="B11" s="249" t="s">
        <v>971</v>
      </c>
      <c r="C11" s="8">
        <v>525</v>
      </c>
      <c r="D11" s="8">
        <v>204</v>
      </c>
      <c r="E11" s="8">
        <v>9</v>
      </c>
      <c r="F11" s="8">
        <v>-2</v>
      </c>
      <c r="G11" s="153">
        <f t="shared" si="0"/>
        <v>736</v>
      </c>
      <c r="H11" s="8">
        <v>0</v>
      </c>
      <c r="I11" s="8">
        <v>0</v>
      </c>
      <c r="J11" s="8">
        <v>0</v>
      </c>
      <c r="K11" s="7">
        <v>0</v>
      </c>
      <c r="L11" s="7">
        <v>0</v>
      </c>
      <c r="M11" s="154">
        <v>0</v>
      </c>
      <c r="N11" s="154">
        <v>0</v>
      </c>
      <c r="O11" s="7">
        <v>0</v>
      </c>
      <c r="P11" s="7">
        <v>0</v>
      </c>
      <c r="Q11" s="154">
        <v>0</v>
      </c>
      <c r="R11" s="7">
        <v>0</v>
      </c>
      <c r="S11" s="14">
        <f t="shared" si="1"/>
        <v>736</v>
      </c>
    </row>
    <row r="12" spans="1:19" ht="15.75" thickBot="1">
      <c r="A12" s="8">
        <v>8</v>
      </c>
      <c r="B12" s="249" t="s">
        <v>972</v>
      </c>
      <c r="C12" s="8">
        <v>550</v>
      </c>
      <c r="D12" s="8">
        <v>160</v>
      </c>
      <c r="E12" s="8">
        <v>15</v>
      </c>
      <c r="F12" s="8">
        <v>0</v>
      </c>
      <c r="G12" s="153">
        <f t="shared" si="0"/>
        <v>725</v>
      </c>
      <c r="H12" s="8">
        <v>0</v>
      </c>
      <c r="I12" s="8">
        <v>0</v>
      </c>
      <c r="J12" s="8">
        <v>0</v>
      </c>
      <c r="K12" s="7">
        <v>0</v>
      </c>
      <c r="L12" s="7">
        <v>0</v>
      </c>
      <c r="M12" s="154">
        <v>0</v>
      </c>
      <c r="N12" s="154">
        <v>0</v>
      </c>
      <c r="O12" s="7">
        <v>0</v>
      </c>
      <c r="P12" s="7">
        <v>0</v>
      </c>
      <c r="Q12" s="154">
        <v>0</v>
      </c>
      <c r="R12" s="7">
        <v>0</v>
      </c>
      <c r="S12" s="14">
        <f t="shared" si="1"/>
        <v>725</v>
      </c>
    </row>
    <row r="13" spans="1:19" ht="24" thickBot="1">
      <c r="A13" s="156">
        <v>9</v>
      </c>
      <c r="B13" s="250" t="s">
        <v>973</v>
      </c>
      <c r="C13" s="8">
        <v>345</v>
      </c>
      <c r="D13" s="8">
        <v>296</v>
      </c>
      <c r="E13" s="8">
        <v>33</v>
      </c>
      <c r="F13" s="156">
        <v>0</v>
      </c>
      <c r="G13" s="153">
        <f t="shared" si="0"/>
        <v>674</v>
      </c>
      <c r="H13" s="156">
        <v>0</v>
      </c>
      <c r="I13" s="156">
        <v>0</v>
      </c>
      <c r="J13" s="156">
        <v>0</v>
      </c>
      <c r="K13" s="13">
        <v>20</v>
      </c>
      <c r="L13" s="13">
        <v>0</v>
      </c>
      <c r="M13" s="156">
        <v>0</v>
      </c>
      <c r="N13" s="156">
        <v>0</v>
      </c>
      <c r="O13" s="13">
        <v>0</v>
      </c>
      <c r="P13" s="13">
        <v>0</v>
      </c>
      <c r="Q13" s="156">
        <v>0</v>
      </c>
      <c r="R13" s="13">
        <v>0</v>
      </c>
      <c r="S13" s="14">
        <f t="shared" si="1"/>
        <v>694</v>
      </c>
    </row>
    <row r="14" spans="1:19" ht="15">
      <c r="A14" s="156">
        <v>10</v>
      </c>
      <c r="B14" s="251" t="s">
        <v>974</v>
      </c>
      <c r="C14" s="8">
        <v>660</v>
      </c>
      <c r="D14" s="8">
        <v>136</v>
      </c>
      <c r="E14" s="8">
        <v>3</v>
      </c>
      <c r="F14" s="156">
        <v>0</v>
      </c>
      <c r="G14" s="153">
        <f t="shared" si="0"/>
        <v>799</v>
      </c>
      <c r="H14" s="156">
        <v>0</v>
      </c>
      <c r="I14" s="156">
        <v>0</v>
      </c>
      <c r="J14" s="156">
        <v>0</v>
      </c>
      <c r="K14" s="13">
        <v>20</v>
      </c>
      <c r="L14" s="13">
        <v>0</v>
      </c>
      <c r="M14" s="156">
        <v>0</v>
      </c>
      <c r="N14" s="156">
        <v>0</v>
      </c>
      <c r="O14" s="13">
        <v>0</v>
      </c>
      <c r="P14" s="13">
        <v>0</v>
      </c>
      <c r="Q14" s="156">
        <v>0</v>
      </c>
      <c r="R14" s="13">
        <v>0</v>
      </c>
      <c r="S14" s="14">
        <f t="shared" si="1"/>
        <v>819</v>
      </c>
    </row>
    <row r="15" spans="1:19" ht="15.75" thickBot="1">
      <c r="A15" s="8">
        <v>11</v>
      </c>
      <c r="B15" s="249" t="s">
        <v>975</v>
      </c>
      <c r="C15" s="8">
        <v>610</v>
      </c>
      <c r="D15" s="8">
        <v>92</v>
      </c>
      <c r="E15" s="8">
        <v>0</v>
      </c>
      <c r="F15" s="8">
        <v>0</v>
      </c>
      <c r="G15" s="153">
        <f t="shared" si="0"/>
        <v>702</v>
      </c>
      <c r="H15" s="8">
        <v>0</v>
      </c>
      <c r="I15" s="8">
        <v>0</v>
      </c>
      <c r="J15" s="8">
        <v>0</v>
      </c>
      <c r="K15" s="7">
        <v>20</v>
      </c>
      <c r="L15" s="7">
        <v>0</v>
      </c>
      <c r="M15" s="154">
        <v>0</v>
      </c>
      <c r="N15" s="154">
        <v>3</v>
      </c>
      <c r="O15" s="7">
        <v>0</v>
      </c>
      <c r="P15" s="7">
        <v>0</v>
      </c>
      <c r="Q15" s="154">
        <v>0</v>
      </c>
      <c r="R15" s="7">
        <v>0</v>
      </c>
      <c r="S15" s="14">
        <f t="shared" si="1"/>
        <v>725</v>
      </c>
    </row>
    <row r="16" spans="1:19" ht="15.75" thickBot="1">
      <c r="A16" s="156">
        <v>12</v>
      </c>
      <c r="B16" s="249" t="s">
        <v>976</v>
      </c>
      <c r="C16" s="8">
        <v>500</v>
      </c>
      <c r="D16" s="8">
        <v>148</v>
      </c>
      <c r="E16" s="8">
        <v>6</v>
      </c>
      <c r="F16" s="156">
        <v>0</v>
      </c>
      <c r="G16" s="153">
        <f t="shared" si="0"/>
        <v>654</v>
      </c>
      <c r="H16" s="156">
        <v>0</v>
      </c>
      <c r="I16" s="156">
        <v>0</v>
      </c>
      <c r="J16" s="156">
        <v>0</v>
      </c>
      <c r="K16" s="13">
        <v>20</v>
      </c>
      <c r="L16" s="13">
        <v>0</v>
      </c>
      <c r="M16" s="156">
        <v>0</v>
      </c>
      <c r="N16" s="156">
        <v>0</v>
      </c>
      <c r="O16" s="13">
        <v>0</v>
      </c>
      <c r="P16" s="13">
        <v>0</v>
      </c>
      <c r="Q16" s="156">
        <v>0</v>
      </c>
      <c r="R16" s="13">
        <v>0</v>
      </c>
      <c r="S16" s="14">
        <f t="shared" si="1"/>
        <v>674</v>
      </c>
    </row>
    <row r="17" spans="1:19" ht="15.75" thickBot="1">
      <c r="A17" s="8">
        <v>13</v>
      </c>
      <c r="B17" s="252" t="s">
        <v>977</v>
      </c>
      <c r="C17" s="8">
        <v>270</v>
      </c>
      <c r="D17" s="8">
        <v>272</v>
      </c>
      <c r="E17" s="8">
        <v>39</v>
      </c>
      <c r="F17" s="8">
        <v>-12</v>
      </c>
      <c r="G17" s="153">
        <f t="shared" si="0"/>
        <v>569</v>
      </c>
      <c r="H17" s="8">
        <v>0</v>
      </c>
      <c r="I17" s="8">
        <v>0</v>
      </c>
      <c r="J17" s="8">
        <v>0</v>
      </c>
      <c r="K17" s="7">
        <v>20</v>
      </c>
      <c r="L17" s="7">
        <v>0</v>
      </c>
      <c r="M17" s="154">
        <v>0</v>
      </c>
      <c r="N17" s="154">
        <v>0</v>
      </c>
      <c r="O17" s="7">
        <v>0</v>
      </c>
      <c r="P17" s="7">
        <v>0</v>
      </c>
      <c r="Q17" s="154">
        <v>0</v>
      </c>
      <c r="R17" s="7">
        <v>0</v>
      </c>
      <c r="S17" s="14">
        <f t="shared" si="1"/>
        <v>589</v>
      </c>
    </row>
    <row r="18" spans="1:19" ht="15.75" thickBot="1">
      <c r="A18" s="8">
        <v>14</v>
      </c>
      <c r="B18" s="249" t="s">
        <v>978</v>
      </c>
      <c r="C18" s="8">
        <v>395</v>
      </c>
      <c r="D18" s="8">
        <v>224</v>
      </c>
      <c r="E18" s="8">
        <v>15</v>
      </c>
      <c r="F18" s="8">
        <v>0</v>
      </c>
      <c r="G18" s="153">
        <f t="shared" si="0"/>
        <v>634</v>
      </c>
      <c r="H18" s="8">
        <v>0</v>
      </c>
      <c r="I18" s="8">
        <v>0</v>
      </c>
      <c r="J18" s="8">
        <v>0</v>
      </c>
      <c r="K18" s="7">
        <v>20</v>
      </c>
      <c r="L18" s="7">
        <v>0</v>
      </c>
      <c r="M18" s="154">
        <v>0</v>
      </c>
      <c r="N18" s="154">
        <v>3</v>
      </c>
      <c r="O18" s="7">
        <v>0</v>
      </c>
      <c r="P18" s="7">
        <v>0</v>
      </c>
      <c r="Q18" s="154">
        <v>0</v>
      </c>
      <c r="R18" s="7">
        <v>0</v>
      </c>
      <c r="S18" s="14">
        <f t="shared" si="1"/>
        <v>657</v>
      </c>
    </row>
    <row r="19" spans="1:19" ht="24" thickBot="1">
      <c r="A19" s="8">
        <v>15</v>
      </c>
      <c r="B19" s="250" t="s">
        <v>979</v>
      </c>
      <c r="C19" s="8">
        <v>385</v>
      </c>
      <c r="D19" s="8">
        <v>220</v>
      </c>
      <c r="E19" s="8">
        <v>21</v>
      </c>
      <c r="F19" s="8">
        <v>0</v>
      </c>
      <c r="G19" s="153">
        <f t="shared" si="0"/>
        <v>626</v>
      </c>
      <c r="H19" s="8">
        <v>0</v>
      </c>
      <c r="I19" s="8">
        <v>0</v>
      </c>
      <c r="J19" s="8">
        <v>0</v>
      </c>
      <c r="K19" s="7">
        <v>20</v>
      </c>
      <c r="L19" s="7">
        <v>0</v>
      </c>
      <c r="M19" s="154">
        <v>0</v>
      </c>
      <c r="N19" s="154">
        <v>0</v>
      </c>
      <c r="O19" s="7">
        <v>0</v>
      </c>
      <c r="P19" s="7">
        <v>0</v>
      </c>
      <c r="Q19" s="154">
        <v>0</v>
      </c>
      <c r="R19" s="7">
        <v>0</v>
      </c>
      <c r="S19" s="14">
        <f t="shared" si="1"/>
        <v>646</v>
      </c>
    </row>
    <row r="20" spans="1:19" ht="15.75" thickBot="1">
      <c r="A20" s="8">
        <v>16</v>
      </c>
      <c r="B20" s="249" t="s">
        <v>980</v>
      </c>
      <c r="C20" s="8">
        <v>640</v>
      </c>
      <c r="D20" s="8">
        <v>88</v>
      </c>
      <c r="E20" s="8">
        <v>0</v>
      </c>
      <c r="F20" s="8">
        <v>0</v>
      </c>
      <c r="G20" s="153">
        <f t="shared" si="0"/>
        <v>728</v>
      </c>
      <c r="H20" s="8">
        <v>0</v>
      </c>
      <c r="I20" s="8">
        <v>0</v>
      </c>
      <c r="J20" s="8">
        <v>0</v>
      </c>
      <c r="K20" s="7">
        <v>20</v>
      </c>
      <c r="L20" s="7">
        <v>0</v>
      </c>
      <c r="M20" s="154">
        <v>0</v>
      </c>
      <c r="N20" s="154">
        <v>3</v>
      </c>
      <c r="O20" s="7">
        <v>0</v>
      </c>
      <c r="P20" s="7">
        <v>0</v>
      </c>
      <c r="Q20" s="154">
        <v>0</v>
      </c>
      <c r="R20" s="7">
        <v>0</v>
      </c>
      <c r="S20" s="14">
        <f t="shared" si="1"/>
        <v>751</v>
      </c>
    </row>
    <row r="21" spans="1:19" ht="15.75" thickBot="1">
      <c r="A21" s="8">
        <v>17</v>
      </c>
      <c r="B21" s="249" t="s">
        <v>981</v>
      </c>
      <c r="C21" s="8">
        <v>395</v>
      </c>
      <c r="D21" s="8">
        <v>248</v>
      </c>
      <c r="E21" s="8">
        <v>24</v>
      </c>
      <c r="F21" s="8">
        <v>0</v>
      </c>
      <c r="G21" s="153">
        <f t="shared" si="0"/>
        <v>667</v>
      </c>
      <c r="H21" s="8">
        <v>0</v>
      </c>
      <c r="I21" s="8">
        <v>0</v>
      </c>
      <c r="J21" s="8">
        <v>0</v>
      </c>
      <c r="K21" s="7">
        <v>0</v>
      </c>
      <c r="L21" s="7">
        <v>0</v>
      </c>
      <c r="M21" s="154">
        <v>0</v>
      </c>
      <c r="N21" s="154">
        <v>0</v>
      </c>
      <c r="O21" s="7">
        <v>0</v>
      </c>
      <c r="P21" s="7">
        <v>0</v>
      </c>
      <c r="Q21" s="154">
        <v>0</v>
      </c>
      <c r="R21" s="7">
        <v>0</v>
      </c>
      <c r="S21" s="14">
        <f t="shared" si="1"/>
        <v>667</v>
      </c>
    </row>
    <row r="22" spans="1:19" ht="15.75" thickBot="1">
      <c r="A22" s="8">
        <v>18</v>
      </c>
      <c r="B22" s="249" t="s">
        <v>982</v>
      </c>
      <c r="C22" s="8">
        <v>385</v>
      </c>
      <c r="D22" s="8">
        <v>276</v>
      </c>
      <c r="E22" s="8">
        <v>12</v>
      </c>
      <c r="F22" s="8">
        <v>-2</v>
      </c>
      <c r="G22" s="153">
        <f t="shared" si="0"/>
        <v>671</v>
      </c>
      <c r="H22" s="8">
        <v>0</v>
      </c>
      <c r="I22" s="8">
        <v>0</v>
      </c>
      <c r="J22" s="8">
        <v>0</v>
      </c>
      <c r="K22" s="7">
        <v>0</v>
      </c>
      <c r="L22" s="7">
        <v>0</v>
      </c>
      <c r="M22" s="154">
        <v>0</v>
      </c>
      <c r="N22" s="154">
        <v>0</v>
      </c>
      <c r="O22" s="7">
        <v>0</v>
      </c>
      <c r="P22" s="7">
        <v>0</v>
      </c>
      <c r="Q22" s="154">
        <v>0</v>
      </c>
      <c r="R22" s="7">
        <v>0</v>
      </c>
      <c r="S22" s="14">
        <f t="shared" si="1"/>
        <v>671</v>
      </c>
    </row>
    <row r="23" spans="1:19" ht="24" thickBot="1">
      <c r="A23" s="8">
        <v>19</v>
      </c>
      <c r="B23" s="250" t="s">
        <v>983</v>
      </c>
      <c r="C23" s="8">
        <v>335</v>
      </c>
      <c r="D23" s="8">
        <v>316</v>
      </c>
      <c r="E23" s="8">
        <v>36</v>
      </c>
      <c r="F23" s="8">
        <v>-4</v>
      </c>
      <c r="G23" s="153">
        <f t="shared" si="0"/>
        <v>683</v>
      </c>
      <c r="H23" s="8">
        <v>0</v>
      </c>
      <c r="I23" s="8">
        <v>0</v>
      </c>
      <c r="J23" s="8">
        <v>0</v>
      </c>
      <c r="K23" s="7">
        <v>0</v>
      </c>
      <c r="L23" s="7">
        <v>0</v>
      </c>
      <c r="M23" s="154">
        <v>0</v>
      </c>
      <c r="N23" s="154">
        <v>0</v>
      </c>
      <c r="O23" s="7">
        <v>0</v>
      </c>
      <c r="P23" s="7">
        <v>0</v>
      </c>
      <c r="Q23" s="154">
        <v>0</v>
      </c>
      <c r="R23" s="7">
        <v>0</v>
      </c>
      <c r="S23" s="14">
        <f t="shared" si="1"/>
        <v>683</v>
      </c>
    </row>
    <row r="24" spans="1:19" ht="15.75" thickBot="1">
      <c r="A24" s="8">
        <v>20</v>
      </c>
      <c r="B24" s="249" t="s">
        <v>984</v>
      </c>
      <c r="C24" s="8">
        <v>285</v>
      </c>
      <c r="D24" s="8">
        <v>368</v>
      </c>
      <c r="E24" s="8">
        <v>24</v>
      </c>
      <c r="F24" s="8">
        <v>0</v>
      </c>
      <c r="G24" s="153">
        <f t="shared" si="0"/>
        <v>677</v>
      </c>
      <c r="H24" s="8">
        <v>0</v>
      </c>
      <c r="I24" s="8">
        <v>0</v>
      </c>
      <c r="J24" s="8">
        <v>0</v>
      </c>
      <c r="K24" s="7">
        <v>0</v>
      </c>
      <c r="L24" s="7">
        <v>0</v>
      </c>
      <c r="M24" s="154">
        <v>0</v>
      </c>
      <c r="N24" s="154">
        <v>0</v>
      </c>
      <c r="O24" s="7">
        <v>0</v>
      </c>
      <c r="P24" s="7">
        <v>0</v>
      </c>
      <c r="Q24" s="154">
        <v>0</v>
      </c>
      <c r="R24" s="7">
        <v>0</v>
      </c>
      <c r="S24" s="14">
        <f t="shared" si="1"/>
        <v>677</v>
      </c>
    </row>
    <row r="25" spans="1:19" ht="15.75" thickBot="1">
      <c r="A25" s="8">
        <v>21</v>
      </c>
      <c r="B25" s="253" t="s">
        <v>985</v>
      </c>
      <c r="C25" s="8">
        <v>380</v>
      </c>
      <c r="D25" s="8">
        <v>280</v>
      </c>
      <c r="E25" s="8">
        <v>6</v>
      </c>
      <c r="F25" s="8">
        <v>0</v>
      </c>
      <c r="G25" s="153">
        <f t="shared" si="0"/>
        <v>666</v>
      </c>
      <c r="H25" s="8">
        <v>0</v>
      </c>
      <c r="I25" s="8">
        <v>0</v>
      </c>
      <c r="J25" s="8">
        <v>0</v>
      </c>
      <c r="K25" s="7">
        <v>0</v>
      </c>
      <c r="L25" s="7">
        <v>0</v>
      </c>
      <c r="M25" s="154">
        <v>0</v>
      </c>
      <c r="N25" s="154">
        <v>0</v>
      </c>
      <c r="O25" s="7">
        <v>0</v>
      </c>
      <c r="P25" s="7">
        <v>0</v>
      </c>
      <c r="Q25" s="154">
        <v>0</v>
      </c>
      <c r="R25" s="7">
        <v>0</v>
      </c>
      <c r="S25" s="14">
        <f t="shared" si="1"/>
        <v>666</v>
      </c>
    </row>
    <row r="26" spans="1:19" ht="15.75" thickBot="1">
      <c r="A26" s="8">
        <v>22</v>
      </c>
      <c r="B26" s="249" t="s">
        <v>986</v>
      </c>
      <c r="C26" s="8">
        <v>470</v>
      </c>
      <c r="D26" s="8">
        <v>224</v>
      </c>
      <c r="E26" s="8">
        <v>15</v>
      </c>
      <c r="F26" s="8">
        <v>-2</v>
      </c>
      <c r="G26" s="153">
        <f t="shared" si="0"/>
        <v>707</v>
      </c>
      <c r="H26" s="8">
        <v>0</v>
      </c>
      <c r="I26" s="8">
        <v>0</v>
      </c>
      <c r="J26" s="8">
        <v>0</v>
      </c>
      <c r="K26" s="7">
        <v>0</v>
      </c>
      <c r="L26" s="7">
        <v>0</v>
      </c>
      <c r="M26" s="154">
        <v>0</v>
      </c>
      <c r="N26" s="154">
        <v>0</v>
      </c>
      <c r="O26" s="7">
        <v>0</v>
      </c>
      <c r="P26" s="7">
        <v>0</v>
      </c>
      <c r="Q26" s="154">
        <v>0</v>
      </c>
      <c r="R26" s="7">
        <v>0</v>
      </c>
      <c r="S26" s="14">
        <f t="shared" si="1"/>
        <v>707</v>
      </c>
    </row>
    <row r="27" spans="1:19" ht="24" thickBot="1">
      <c r="A27" s="8">
        <v>23</v>
      </c>
      <c r="B27" s="250" t="s">
        <v>987</v>
      </c>
      <c r="C27" s="8">
        <v>395</v>
      </c>
      <c r="D27" s="8">
        <v>268</v>
      </c>
      <c r="E27" s="8">
        <v>6</v>
      </c>
      <c r="F27" s="8">
        <v>0</v>
      </c>
      <c r="G27" s="153">
        <f t="shared" si="0"/>
        <v>669</v>
      </c>
      <c r="H27" s="8">
        <v>0</v>
      </c>
      <c r="I27" s="8">
        <v>0</v>
      </c>
      <c r="J27" s="8">
        <v>0</v>
      </c>
      <c r="K27" s="7">
        <v>0</v>
      </c>
      <c r="L27" s="7">
        <v>0</v>
      </c>
      <c r="M27" s="154">
        <v>10</v>
      </c>
      <c r="N27" s="154">
        <v>3</v>
      </c>
      <c r="O27" s="7">
        <v>0</v>
      </c>
      <c r="P27" s="7">
        <v>0</v>
      </c>
      <c r="Q27" s="154">
        <v>0</v>
      </c>
      <c r="R27" s="7">
        <v>0</v>
      </c>
      <c r="S27" s="14">
        <f t="shared" si="1"/>
        <v>682</v>
      </c>
    </row>
    <row r="28" spans="1:19" ht="15.75" thickBot="1">
      <c r="A28" s="8">
        <v>24</v>
      </c>
      <c r="B28" s="253" t="s">
        <v>988</v>
      </c>
      <c r="C28" s="254">
        <v>280</v>
      </c>
      <c r="D28" s="8">
        <v>320</v>
      </c>
      <c r="E28" s="8">
        <v>21</v>
      </c>
      <c r="F28" s="8">
        <v>0</v>
      </c>
      <c r="G28" s="153">
        <f t="shared" si="0"/>
        <v>621</v>
      </c>
      <c r="H28" s="8">
        <v>0</v>
      </c>
      <c r="I28" s="8">
        <v>0</v>
      </c>
      <c r="J28" s="8">
        <v>0</v>
      </c>
      <c r="K28" s="7">
        <v>0</v>
      </c>
      <c r="L28" s="7">
        <v>0</v>
      </c>
      <c r="M28" s="154">
        <v>0</v>
      </c>
      <c r="N28" s="154">
        <v>0</v>
      </c>
      <c r="O28" s="7">
        <v>0</v>
      </c>
      <c r="P28" s="7">
        <v>0</v>
      </c>
      <c r="Q28" s="154">
        <v>0</v>
      </c>
      <c r="R28" s="7">
        <v>0</v>
      </c>
      <c r="S28" s="14">
        <f t="shared" si="1"/>
        <v>621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S23"/>
    </sheetView>
  </sheetViews>
  <sheetFormatPr defaultColWidth="9.140625" defaultRowHeight="15"/>
  <sheetData>
    <row r="1" spans="1:19" ht="18.75">
      <c r="A1" s="303" t="s">
        <v>989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9906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47.25">
      <c r="A5" s="26">
        <v>1</v>
      </c>
      <c r="B5" s="255" t="s">
        <v>990</v>
      </c>
      <c r="C5" s="26">
        <f>76*5</f>
        <v>380</v>
      </c>
      <c r="D5" s="26">
        <f>56*4</f>
        <v>224</v>
      </c>
      <c r="E5" s="26">
        <f>4*3</f>
        <v>12</v>
      </c>
      <c r="F5" s="26"/>
      <c r="G5" s="28"/>
      <c r="H5" s="26">
        <v>0</v>
      </c>
      <c r="I5" s="26"/>
      <c r="J5" s="26"/>
      <c r="K5" s="29"/>
      <c r="L5" s="29"/>
      <c r="M5" s="29"/>
      <c r="N5" s="29"/>
      <c r="O5" s="29">
        <v>3</v>
      </c>
      <c r="P5" s="29"/>
      <c r="Q5" s="29"/>
      <c r="R5" s="29"/>
      <c r="S5" s="30">
        <f aca="true" t="shared" si="0" ref="S5:S22">C5+D5+E5+H5+O5</f>
        <v>619</v>
      </c>
    </row>
    <row r="6" spans="1:19" ht="15.75">
      <c r="A6" s="26">
        <v>2</v>
      </c>
      <c r="B6" s="256" t="s">
        <v>991</v>
      </c>
      <c r="C6" s="26">
        <f>3*26</f>
        <v>78</v>
      </c>
      <c r="D6" s="26">
        <f>4*74</f>
        <v>296</v>
      </c>
      <c r="E6" s="26">
        <f>3*26</f>
        <v>78</v>
      </c>
      <c r="F6" s="26"/>
      <c r="G6" s="28"/>
      <c r="H6" s="26">
        <v>-10</v>
      </c>
      <c r="I6" s="26"/>
      <c r="J6" s="26"/>
      <c r="K6" s="31"/>
      <c r="L6" s="31"/>
      <c r="M6" s="29"/>
      <c r="N6" s="29"/>
      <c r="O6" s="31"/>
      <c r="P6" s="31"/>
      <c r="Q6" s="29"/>
      <c r="R6" s="31"/>
      <c r="S6" s="30">
        <f t="shared" si="0"/>
        <v>442</v>
      </c>
    </row>
    <row r="7" spans="1:19" ht="15.75">
      <c r="A7" s="26">
        <v>3</v>
      </c>
      <c r="B7" s="256" t="s">
        <v>992</v>
      </c>
      <c r="C7" s="26">
        <f>5*54</f>
        <v>270</v>
      </c>
      <c r="D7" s="26">
        <f>4*58</f>
        <v>232</v>
      </c>
      <c r="E7" s="26">
        <f>3*17</f>
        <v>51</v>
      </c>
      <c r="F7" s="26"/>
      <c r="G7" s="28"/>
      <c r="H7" s="26">
        <v>-10</v>
      </c>
      <c r="I7" s="26"/>
      <c r="J7" s="26"/>
      <c r="K7" s="31"/>
      <c r="L7" s="31"/>
      <c r="M7" s="29"/>
      <c r="N7" s="29"/>
      <c r="O7" s="31"/>
      <c r="P7" s="31"/>
      <c r="Q7" s="29"/>
      <c r="R7" s="31"/>
      <c r="S7" s="30">
        <f t="shared" si="0"/>
        <v>543</v>
      </c>
    </row>
    <row r="8" spans="1:19" ht="63">
      <c r="A8" s="26">
        <v>4</v>
      </c>
      <c r="B8" s="257" t="s">
        <v>993</v>
      </c>
      <c r="C8" s="26">
        <f>5*31</f>
        <v>155</v>
      </c>
      <c r="D8" s="26">
        <f>85*4</f>
        <v>340</v>
      </c>
      <c r="E8" s="26">
        <f>3*14</f>
        <v>42</v>
      </c>
      <c r="F8" s="26"/>
      <c r="G8" s="28"/>
      <c r="H8" s="26">
        <v>-30</v>
      </c>
      <c r="I8" s="26"/>
      <c r="J8" s="26"/>
      <c r="K8" s="31"/>
      <c r="L8" s="31"/>
      <c r="M8" s="29"/>
      <c r="N8" s="29"/>
      <c r="O8" s="31"/>
      <c r="P8" s="31"/>
      <c r="Q8" s="29"/>
      <c r="R8" s="31"/>
      <c r="S8" s="30">
        <f t="shared" si="0"/>
        <v>507</v>
      </c>
    </row>
    <row r="9" spans="1:19" ht="31.5">
      <c r="A9" s="26">
        <v>5</v>
      </c>
      <c r="B9" s="257" t="s">
        <v>994</v>
      </c>
      <c r="C9" s="26">
        <f>5*57</f>
        <v>285</v>
      </c>
      <c r="D9" s="26">
        <f>4*65</f>
        <v>260</v>
      </c>
      <c r="E9" s="26">
        <f>3*7</f>
        <v>21</v>
      </c>
      <c r="F9" s="26"/>
      <c r="G9" s="28"/>
      <c r="H9" s="26">
        <v>0</v>
      </c>
      <c r="I9" s="26"/>
      <c r="J9" s="26"/>
      <c r="K9" s="31"/>
      <c r="L9" s="31"/>
      <c r="M9" s="29"/>
      <c r="N9" s="29"/>
      <c r="O9" s="31">
        <v>3</v>
      </c>
      <c r="P9" s="31"/>
      <c r="Q9" s="29"/>
      <c r="R9" s="31"/>
      <c r="S9" s="30">
        <f t="shared" si="0"/>
        <v>569</v>
      </c>
    </row>
    <row r="10" spans="1:19" ht="31.5">
      <c r="A10" s="26">
        <v>6</v>
      </c>
      <c r="B10" s="257" t="s">
        <v>995</v>
      </c>
      <c r="C10" s="26">
        <f>92*5</f>
        <v>460</v>
      </c>
      <c r="D10" s="26">
        <f>4*35</f>
        <v>140</v>
      </c>
      <c r="E10" s="26">
        <f>3*2</f>
        <v>6</v>
      </c>
      <c r="F10" s="26"/>
      <c r="G10" s="28"/>
      <c r="H10" s="26">
        <v>0</v>
      </c>
      <c r="I10" s="26"/>
      <c r="J10" s="26"/>
      <c r="K10" s="31"/>
      <c r="L10" s="31"/>
      <c r="M10" s="29"/>
      <c r="N10" s="29"/>
      <c r="O10" s="31"/>
      <c r="P10" s="31"/>
      <c r="Q10" s="29"/>
      <c r="R10" s="31"/>
      <c r="S10" s="30">
        <f t="shared" si="0"/>
        <v>606</v>
      </c>
    </row>
    <row r="11" spans="1:19" ht="63">
      <c r="A11" s="26">
        <v>7</v>
      </c>
      <c r="B11" s="257" t="s">
        <v>996</v>
      </c>
      <c r="C11" s="26">
        <f>51*5</f>
        <v>255</v>
      </c>
      <c r="D11" s="26">
        <f>4*70</f>
        <v>280</v>
      </c>
      <c r="E11" s="26">
        <f>3*3</f>
        <v>9</v>
      </c>
      <c r="F11" s="26"/>
      <c r="G11" s="28"/>
      <c r="H11" s="26">
        <v>0</v>
      </c>
      <c r="I11" s="26"/>
      <c r="J11" s="26"/>
      <c r="K11" s="31"/>
      <c r="L11" s="31"/>
      <c r="M11" s="29"/>
      <c r="N11" s="29"/>
      <c r="O11" s="31"/>
      <c r="P11" s="31"/>
      <c r="Q11" s="29"/>
      <c r="R11" s="31"/>
      <c r="S11" s="30">
        <f t="shared" si="0"/>
        <v>544</v>
      </c>
    </row>
    <row r="12" spans="1:19" ht="47.25">
      <c r="A12" s="26">
        <v>8</v>
      </c>
      <c r="B12" s="257" t="s">
        <v>997</v>
      </c>
      <c r="C12" s="26">
        <f>5*98</f>
        <v>490</v>
      </c>
      <c r="D12" s="26">
        <f>4*16</f>
        <v>64</v>
      </c>
      <c r="E12" s="26">
        <f>3*2</f>
        <v>6</v>
      </c>
      <c r="F12" s="26"/>
      <c r="G12" s="28"/>
      <c r="H12" s="26">
        <v>0</v>
      </c>
      <c r="I12" s="26"/>
      <c r="J12" s="26"/>
      <c r="K12" s="31"/>
      <c r="L12" s="31"/>
      <c r="M12" s="29"/>
      <c r="N12" s="29"/>
      <c r="O12" s="31"/>
      <c r="P12" s="31"/>
      <c r="Q12" s="29"/>
      <c r="R12" s="31"/>
      <c r="S12" s="30">
        <f t="shared" si="0"/>
        <v>560</v>
      </c>
    </row>
    <row r="13" spans="1:19" ht="47.25">
      <c r="A13" s="32">
        <v>9</v>
      </c>
      <c r="B13" s="257" t="s">
        <v>998</v>
      </c>
      <c r="C13" s="26">
        <f>5*51</f>
        <v>255</v>
      </c>
      <c r="D13" s="26">
        <f>4*60</f>
        <v>240</v>
      </c>
      <c r="E13" s="26">
        <v>9</v>
      </c>
      <c r="F13" s="32"/>
      <c r="G13" s="28"/>
      <c r="H13" s="32">
        <v>0</v>
      </c>
      <c r="I13" s="32"/>
      <c r="J13" s="32"/>
      <c r="K13" s="34"/>
      <c r="L13" s="34"/>
      <c r="M13" s="32"/>
      <c r="N13" s="32"/>
      <c r="O13" s="34"/>
      <c r="P13" s="34"/>
      <c r="Q13" s="32"/>
      <c r="R13" s="34"/>
      <c r="S13" s="30">
        <f t="shared" si="0"/>
        <v>504</v>
      </c>
    </row>
    <row r="14" spans="1:19" ht="47.25">
      <c r="A14" s="32">
        <v>10</v>
      </c>
      <c r="B14" s="257" t="s">
        <v>999</v>
      </c>
      <c r="C14" s="26">
        <f>82*5</f>
        <v>410</v>
      </c>
      <c r="D14" s="26">
        <f>4*49</f>
        <v>196</v>
      </c>
      <c r="E14" s="26">
        <v>15</v>
      </c>
      <c r="F14" s="32"/>
      <c r="G14" s="28"/>
      <c r="H14" s="32">
        <v>0</v>
      </c>
      <c r="I14" s="32"/>
      <c r="J14" s="32"/>
      <c r="K14" s="34"/>
      <c r="L14" s="34"/>
      <c r="M14" s="32"/>
      <c r="N14" s="32"/>
      <c r="O14" s="34"/>
      <c r="P14" s="34"/>
      <c r="Q14" s="32"/>
      <c r="R14" s="34"/>
      <c r="S14" s="30">
        <f t="shared" si="0"/>
        <v>621</v>
      </c>
    </row>
    <row r="15" spans="1:19" ht="63">
      <c r="A15" s="26">
        <v>11</v>
      </c>
      <c r="B15" s="216" t="s">
        <v>1000</v>
      </c>
      <c r="C15" s="26">
        <f>5*47</f>
        <v>235</v>
      </c>
      <c r="D15" s="26">
        <f>4*72</f>
        <v>288</v>
      </c>
      <c r="E15" s="26">
        <v>15</v>
      </c>
      <c r="F15" s="26"/>
      <c r="G15" s="28"/>
      <c r="H15" s="26">
        <v>0</v>
      </c>
      <c r="I15" s="26"/>
      <c r="J15" s="26"/>
      <c r="K15" s="31"/>
      <c r="L15" s="31"/>
      <c r="M15" s="29"/>
      <c r="N15" s="29"/>
      <c r="O15" s="31"/>
      <c r="P15" s="31"/>
      <c r="Q15" s="29"/>
      <c r="R15" s="31"/>
      <c r="S15" s="30">
        <f t="shared" si="0"/>
        <v>538</v>
      </c>
    </row>
    <row r="16" spans="1:19" ht="47.25">
      <c r="A16" s="32">
        <v>12</v>
      </c>
      <c r="B16" s="216" t="s">
        <v>1001</v>
      </c>
      <c r="C16" s="26">
        <f>5*58</f>
        <v>290</v>
      </c>
      <c r="D16" s="26">
        <f>4*60</f>
        <v>240</v>
      </c>
      <c r="E16" s="26">
        <f>3*9</f>
        <v>27</v>
      </c>
      <c r="F16" s="32"/>
      <c r="G16" s="28"/>
      <c r="H16" s="32">
        <v>-10</v>
      </c>
      <c r="I16" s="32"/>
      <c r="J16" s="32"/>
      <c r="K16" s="34"/>
      <c r="L16" s="34"/>
      <c r="M16" s="32"/>
      <c r="N16" s="32"/>
      <c r="O16" s="34"/>
      <c r="P16" s="34"/>
      <c r="Q16" s="32"/>
      <c r="R16" s="34"/>
      <c r="S16" s="30">
        <f t="shared" si="0"/>
        <v>547</v>
      </c>
    </row>
    <row r="17" spans="1:19" ht="47.25">
      <c r="A17" s="26">
        <v>13</v>
      </c>
      <c r="B17" s="216" t="s">
        <v>1002</v>
      </c>
      <c r="C17" s="26">
        <f>5*41</f>
        <v>205</v>
      </c>
      <c r="D17" s="26">
        <f>67*4</f>
        <v>268</v>
      </c>
      <c r="E17" s="26">
        <f>3*13</f>
        <v>39</v>
      </c>
      <c r="F17" s="26"/>
      <c r="G17" s="28"/>
      <c r="H17" s="26">
        <v>-70</v>
      </c>
      <c r="I17" s="26"/>
      <c r="J17" s="26"/>
      <c r="K17" s="31"/>
      <c r="L17" s="31"/>
      <c r="M17" s="29"/>
      <c r="N17" s="29"/>
      <c r="O17" s="31">
        <v>3</v>
      </c>
      <c r="P17" s="31"/>
      <c r="Q17" s="29"/>
      <c r="R17" s="31"/>
      <c r="S17" s="30">
        <f t="shared" si="0"/>
        <v>445</v>
      </c>
    </row>
    <row r="18" spans="1:19" ht="47.25">
      <c r="A18" s="26">
        <v>14</v>
      </c>
      <c r="B18" s="216" t="s">
        <v>1003</v>
      </c>
      <c r="C18" s="26">
        <f>68*5</f>
        <v>340</v>
      </c>
      <c r="D18" s="26">
        <f>53*4</f>
        <v>212</v>
      </c>
      <c r="E18" s="26">
        <f>4*3</f>
        <v>12</v>
      </c>
      <c r="F18" s="26"/>
      <c r="G18" s="28"/>
      <c r="H18" s="26">
        <v>0</v>
      </c>
      <c r="I18" s="26"/>
      <c r="J18" s="26"/>
      <c r="K18" s="31"/>
      <c r="L18" s="31"/>
      <c r="M18" s="29"/>
      <c r="N18" s="29"/>
      <c r="O18" s="31"/>
      <c r="P18" s="31"/>
      <c r="Q18" s="29"/>
      <c r="R18" s="31"/>
      <c r="S18" s="30">
        <f t="shared" si="0"/>
        <v>564</v>
      </c>
    </row>
    <row r="19" spans="1:19" ht="63">
      <c r="A19" s="26">
        <v>15</v>
      </c>
      <c r="B19" s="216" t="s">
        <v>1004</v>
      </c>
      <c r="C19" s="26">
        <f>68*5</f>
        <v>340</v>
      </c>
      <c r="D19" s="26">
        <f>39*4</f>
        <v>156</v>
      </c>
      <c r="E19" s="26">
        <f>3*3</f>
        <v>9</v>
      </c>
      <c r="F19" s="26"/>
      <c r="G19" s="28"/>
      <c r="H19" s="26">
        <v>0</v>
      </c>
      <c r="I19" s="26"/>
      <c r="J19" s="26"/>
      <c r="K19" s="31"/>
      <c r="L19" s="31"/>
      <c r="M19" s="29"/>
      <c r="N19" s="29"/>
      <c r="O19" s="31"/>
      <c r="P19" s="31"/>
      <c r="Q19" s="29"/>
      <c r="R19" s="31"/>
      <c r="S19" s="30">
        <f t="shared" si="0"/>
        <v>505</v>
      </c>
    </row>
    <row r="20" spans="1:19" ht="47.25">
      <c r="A20" s="26">
        <v>16</v>
      </c>
      <c r="B20" s="216" t="s">
        <v>1005</v>
      </c>
      <c r="C20" s="26">
        <f>107*5</f>
        <v>535</v>
      </c>
      <c r="D20" s="26">
        <f>23*4</f>
        <v>92</v>
      </c>
      <c r="E20" s="26">
        <f>2*3</f>
        <v>6</v>
      </c>
      <c r="F20" s="26"/>
      <c r="G20" s="28"/>
      <c r="H20" s="26">
        <v>0</v>
      </c>
      <c r="I20" s="26"/>
      <c r="J20" s="26"/>
      <c r="K20" s="31"/>
      <c r="L20" s="31"/>
      <c r="M20" s="29"/>
      <c r="N20" s="29"/>
      <c r="O20" s="31"/>
      <c r="P20" s="31"/>
      <c r="Q20" s="29"/>
      <c r="R20" s="31"/>
      <c r="S20" s="30">
        <f t="shared" si="0"/>
        <v>633</v>
      </c>
    </row>
    <row r="21" spans="1:19" ht="47.25">
      <c r="A21" s="26">
        <v>17</v>
      </c>
      <c r="B21" s="216" t="s">
        <v>1006</v>
      </c>
      <c r="C21" s="26">
        <f>84*5</f>
        <v>420</v>
      </c>
      <c r="D21" s="26">
        <f>38*4</f>
        <v>152</v>
      </c>
      <c r="E21" s="26">
        <f>2*3</f>
        <v>6</v>
      </c>
      <c r="F21" s="26"/>
      <c r="G21" s="28"/>
      <c r="H21" s="26">
        <v>0</v>
      </c>
      <c r="I21" s="26"/>
      <c r="J21" s="26"/>
      <c r="K21" s="31"/>
      <c r="L21" s="31"/>
      <c r="M21" s="29"/>
      <c r="N21" s="29"/>
      <c r="O21" s="31">
        <v>3</v>
      </c>
      <c r="P21" s="31"/>
      <c r="Q21" s="29"/>
      <c r="R21" s="31"/>
      <c r="S21" s="30">
        <f t="shared" si="0"/>
        <v>581</v>
      </c>
    </row>
    <row r="22" spans="1:19" ht="31.5">
      <c r="A22" s="26">
        <v>18</v>
      </c>
      <c r="B22" s="216" t="s">
        <v>1007</v>
      </c>
      <c r="C22" s="26">
        <f>85*5</f>
        <v>425</v>
      </c>
      <c r="D22" s="26">
        <f>36*4</f>
        <v>144</v>
      </c>
      <c r="E22" s="26">
        <f>2*3</f>
        <v>6</v>
      </c>
      <c r="F22" s="26"/>
      <c r="G22" s="28"/>
      <c r="H22" s="26">
        <v>0</v>
      </c>
      <c r="I22" s="26"/>
      <c r="J22" s="26"/>
      <c r="K22" s="31"/>
      <c r="L22" s="31"/>
      <c r="M22" s="29"/>
      <c r="N22" s="29"/>
      <c r="O22" s="31">
        <v>3</v>
      </c>
      <c r="P22" s="31"/>
      <c r="Q22" s="29"/>
      <c r="R22" s="31"/>
      <c r="S22" s="30">
        <f t="shared" si="0"/>
        <v>578</v>
      </c>
    </row>
    <row r="23" spans="1:19" ht="15">
      <c r="A23" s="26">
        <v>19</v>
      </c>
      <c r="B23" s="27"/>
      <c r="C23" s="29"/>
      <c r="D23" s="29"/>
      <c r="E23" s="29"/>
      <c r="F23" s="29"/>
      <c r="G23" s="258"/>
      <c r="H23" s="29"/>
      <c r="I23" s="29"/>
      <c r="J23" s="29"/>
      <c r="K23" s="229"/>
      <c r="L23" s="229"/>
      <c r="M23" s="29"/>
      <c r="N23" s="29"/>
      <c r="O23" s="229"/>
      <c r="P23" s="229"/>
      <c r="Q23" s="29"/>
      <c r="R23" s="229"/>
      <c r="S23" s="229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:S35"/>
    </sheetView>
  </sheetViews>
  <sheetFormatPr defaultColWidth="9.140625" defaultRowHeight="15"/>
  <sheetData>
    <row r="1" spans="1:19" ht="18.75">
      <c r="A1" s="303" t="s">
        <v>1008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24473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7" t="s">
        <v>1009</v>
      </c>
      <c r="C5" s="26">
        <v>650</v>
      </c>
      <c r="D5" s="26">
        <v>160</v>
      </c>
      <c r="E5" s="26">
        <v>9</v>
      </c>
      <c r="F5" s="26">
        <v>0</v>
      </c>
      <c r="G5" s="28">
        <v>819</v>
      </c>
      <c r="H5" s="26"/>
      <c r="I5" s="26"/>
      <c r="J5" s="26"/>
      <c r="K5" s="29"/>
      <c r="L5" s="29"/>
      <c r="M5" s="29"/>
      <c r="N5" s="29"/>
      <c r="O5" s="29"/>
      <c r="P5" s="29"/>
      <c r="Q5" s="29">
        <v>5</v>
      </c>
      <c r="R5" s="29"/>
      <c r="S5" s="30">
        <v>904</v>
      </c>
    </row>
    <row r="6" spans="1:19" ht="15">
      <c r="A6" s="26">
        <v>2</v>
      </c>
      <c r="B6" s="27" t="s">
        <v>1010</v>
      </c>
      <c r="C6" s="26">
        <v>340</v>
      </c>
      <c r="D6" s="26">
        <v>324</v>
      </c>
      <c r="E6" s="26">
        <v>6</v>
      </c>
      <c r="F6" s="26">
        <v>0</v>
      </c>
      <c r="G6" s="28">
        <v>670</v>
      </c>
      <c r="H6" s="26"/>
      <c r="I6" s="26"/>
      <c r="J6" s="26"/>
      <c r="K6" s="31"/>
      <c r="L6" s="31"/>
      <c r="M6" s="29"/>
      <c r="N6" s="29"/>
      <c r="O6" s="31"/>
      <c r="P6" s="31"/>
      <c r="Q6" s="29">
        <v>5</v>
      </c>
      <c r="R6" s="31"/>
      <c r="S6" s="30">
        <v>675</v>
      </c>
    </row>
    <row r="7" spans="1:19" ht="15">
      <c r="A7" s="26">
        <v>3</v>
      </c>
      <c r="B7" s="27" t="s">
        <v>1011</v>
      </c>
      <c r="C7" s="26">
        <v>45</v>
      </c>
      <c r="D7" s="26">
        <v>276</v>
      </c>
      <c r="E7" s="26">
        <v>264</v>
      </c>
      <c r="F7" s="26">
        <v>0</v>
      </c>
      <c r="G7" s="28">
        <v>585</v>
      </c>
      <c r="H7" s="26"/>
      <c r="I7" s="26"/>
      <c r="J7" s="26"/>
      <c r="K7" s="31"/>
      <c r="L7" s="31"/>
      <c r="M7" s="29"/>
      <c r="N7" s="29"/>
      <c r="O7" s="31"/>
      <c r="P7" s="31"/>
      <c r="Q7" s="29">
        <v>5</v>
      </c>
      <c r="R7" s="31"/>
      <c r="S7" s="30">
        <v>590</v>
      </c>
    </row>
    <row r="8" spans="1:19" ht="15">
      <c r="A8" s="26">
        <v>4</v>
      </c>
      <c r="B8" s="27" t="s">
        <v>1012</v>
      </c>
      <c r="C8" s="26">
        <v>5</v>
      </c>
      <c r="D8" s="26">
        <v>108</v>
      </c>
      <c r="E8" s="26">
        <v>378</v>
      </c>
      <c r="F8" s="26">
        <v>0</v>
      </c>
      <c r="G8" s="28">
        <f aca="true" t="shared" si="0" ref="G8:G33">C8+D8+E8-F8</f>
        <v>491</v>
      </c>
      <c r="H8" s="26"/>
      <c r="I8" s="26"/>
      <c r="J8" s="26"/>
      <c r="K8" s="31"/>
      <c r="L8" s="31"/>
      <c r="M8" s="29"/>
      <c r="N8" s="29"/>
      <c r="O8" s="31"/>
      <c r="P8" s="31"/>
      <c r="Q8" s="29">
        <v>5</v>
      </c>
      <c r="R8" s="31"/>
      <c r="S8" s="30">
        <v>496</v>
      </c>
    </row>
    <row r="9" spans="1:19" ht="15">
      <c r="A9" s="26">
        <v>5</v>
      </c>
      <c r="B9" s="27" t="s">
        <v>1013</v>
      </c>
      <c r="C9" s="26">
        <v>5</v>
      </c>
      <c r="D9" s="26">
        <v>200</v>
      </c>
      <c r="E9" s="26">
        <v>348</v>
      </c>
      <c r="F9" s="26">
        <v>0</v>
      </c>
      <c r="G9" s="28">
        <f t="shared" si="0"/>
        <v>553</v>
      </c>
      <c r="H9" s="26"/>
      <c r="I9" s="26">
        <v>5</v>
      </c>
      <c r="J9" s="26"/>
      <c r="K9" s="31"/>
      <c r="L9" s="31"/>
      <c r="M9" s="29"/>
      <c r="N9" s="29"/>
      <c r="O9" s="31"/>
      <c r="P9" s="31"/>
      <c r="Q9" s="29">
        <v>5</v>
      </c>
      <c r="R9" s="31"/>
      <c r="S9" s="30">
        <v>5563</v>
      </c>
    </row>
    <row r="10" spans="1:19" ht="15">
      <c r="A10" s="26">
        <v>6</v>
      </c>
      <c r="B10" s="27" t="s">
        <v>1014</v>
      </c>
      <c r="C10" s="26">
        <v>75</v>
      </c>
      <c r="D10" s="26">
        <v>212</v>
      </c>
      <c r="E10" s="26">
        <v>291</v>
      </c>
      <c r="F10" s="26">
        <v>0</v>
      </c>
      <c r="G10" s="28">
        <f>C10+D10+E10-F10</f>
        <v>578</v>
      </c>
      <c r="H10" s="26"/>
      <c r="I10" s="26"/>
      <c r="J10" s="26"/>
      <c r="K10" s="31"/>
      <c r="L10" s="31"/>
      <c r="M10" s="29"/>
      <c r="N10" s="29"/>
      <c r="O10" s="31"/>
      <c r="P10" s="31"/>
      <c r="Q10" s="29">
        <v>5</v>
      </c>
      <c r="R10" s="31"/>
      <c r="S10" s="30">
        <v>583</v>
      </c>
    </row>
    <row r="11" spans="1:19" ht="15">
      <c r="A11" s="26">
        <v>7</v>
      </c>
      <c r="B11" s="27" t="s">
        <v>1015</v>
      </c>
      <c r="C11" s="26">
        <v>620</v>
      </c>
      <c r="D11" s="26">
        <v>112</v>
      </c>
      <c r="E11" s="26">
        <v>0</v>
      </c>
      <c r="F11" s="26">
        <v>0</v>
      </c>
      <c r="G11" s="28">
        <f t="shared" si="0"/>
        <v>732</v>
      </c>
      <c r="H11" s="26">
        <v>4</v>
      </c>
      <c r="I11" s="26"/>
      <c r="J11" s="26"/>
      <c r="K11" s="31"/>
      <c r="L11" s="31"/>
      <c r="M11" s="29"/>
      <c r="N11" s="29"/>
      <c r="O11" s="31"/>
      <c r="P11" s="31"/>
      <c r="Q11" s="29">
        <v>5</v>
      </c>
      <c r="R11" s="31"/>
      <c r="S11" s="30">
        <v>733</v>
      </c>
    </row>
    <row r="12" spans="1:19" ht="15">
      <c r="A12" s="26">
        <v>8</v>
      </c>
      <c r="B12" s="27" t="s">
        <v>1016</v>
      </c>
      <c r="C12" s="26">
        <v>580</v>
      </c>
      <c r="D12" s="26">
        <v>112</v>
      </c>
      <c r="E12" s="26">
        <v>12</v>
      </c>
      <c r="F12" s="26">
        <v>0</v>
      </c>
      <c r="G12" s="28">
        <f t="shared" si="0"/>
        <v>704</v>
      </c>
      <c r="H12" s="26"/>
      <c r="I12" s="26"/>
      <c r="J12" s="26"/>
      <c r="K12" s="31"/>
      <c r="L12" s="31"/>
      <c r="M12" s="29"/>
      <c r="N12" s="29"/>
      <c r="O12" s="31"/>
      <c r="P12" s="31"/>
      <c r="Q12" s="29">
        <v>5</v>
      </c>
      <c r="R12" s="31"/>
      <c r="S12" s="30">
        <v>709</v>
      </c>
    </row>
    <row r="13" spans="1:19" ht="15">
      <c r="A13" s="32">
        <v>9</v>
      </c>
      <c r="B13" s="33" t="s">
        <v>1017</v>
      </c>
      <c r="C13" s="26">
        <v>90</v>
      </c>
      <c r="D13" s="26">
        <v>480</v>
      </c>
      <c r="E13" s="26">
        <v>54</v>
      </c>
      <c r="F13" s="26">
        <v>0</v>
      </c>
      <c r="G13" s="28">
        <f>C13+D13+E13-F13</f>
        <v>624</v>
      </c>
      <c r="H13" s="32"/>
      <c r="I13" s="32"/>
      <c r="J13" s="32"/>
      <c r="K13" s="34"/>
      <c r="L13" s="34"/>
      <c r="M13" s="29"/>
      <c r="N13" s="32"/>
      <c r="O13" s="34"/>
      <c r="P13" s="34"/>
      <c r="Q13" s="29">
        <v>5</v>
      </c>
      <c r="R13" s="34"/>
      <c r="S13" s="30">
        <v>629</v>
      </c>
    </row>
    <row r="14" spans="1:19" ht="15">
      <c r="A14" s="32">
        <v>10</v>
      </c>
      <c r="B14" s="27" t="s">
        <v>1018</v>
      </c>
      <c r="C14" s="26">
        <v>5</v>
      </c>
      <c r="D14" s="26">
        <v>552</v>
      </c>
      <c r="E14" s="26">
        <v>42</v>
      </c>
      <c r="F14" s="26">
        <v>0</v>
      </c>
      <c r="G14" s="28">
        <f t="shared" si="0"/>
        <v>599</v>
      </c>
      <c r="H14" s="32">
        <v>6</v>
      </c>
      <c r="I14" s="32"/>
      <c r="J14" s="32"/>
      <c r="K14" s="34"/>
      <c r="L14" s="34"/>
      <c r="M14" s="29"/>
      <c r="N14" s="32"/>
      <c r="O14" s="34"/>
      <c r="P14" s="34"/>
      <c r="Q14" s="29">
        <v>5</v>
      </c>
      <c r="R14" s="34"/>
      <c r="S14" s="30">
        <v>600</v>
      </c>
    </row>
    <row r="15" spans="1:19" ht="15">
      <c r="A15" s="26">
        <v>11</v>
      </c>
      <c r="B15" s="27" t="s">
        <v>1019</v>
      </c>
      <c r="C15" s="26">
        <v>605</v>
      </c>
      <c r="D15" s="26">
        <v>160</v>
      </c>
      <c r="E15" s="26">
        <v>3</v>
      </c>
      <c r="F15" s="26">
        <v>0</v>
      </c>
      <c r="G15" s="28">
        <f t="shared" si="0"/>
        <v>768</v>
      </c>
      <c r="H15" s="26"/>
      <c r="I15" s="26"/>
      <c r="J15" s="26"/>
      <c r="K15" s="31"/>
      <c r="L15" s="31"/>
      <c r="M15" s="29"/>
      <c r="N15" s="29"/>
      <c r="O15" s="31"/>
      <c r="P15" s="31"/>
      <c r="Q15" s="29">
        <v>5</v>
      </c>
      <c r="R15" s="31"/>
      <c r="S15" s="30">
        <v>773</v>
      </c>
    </row>
    <row r="16" spans="1:19" ht="15">
      <c r="A16" s="32">
        <v>12</v>
      </c>
      <c r="B16" s="27" t="s">
        <v>1020</v>
      </c>
      <c r="C16" s="26">
        <v>630</v>
      </c>
      <c r="D16" s="26">
        <v>116</v>
      </c>
      <c r="E16" s="26">
        <v>3</v>
      </c>
      <c r="F16" s="26">
        <v>0</v>
      </c>
      <c r="G16" s="28">
        <f t="shared" si="0"/>
        <v>749</v>
      </c>
      <c r="H16" s="32"/>
      <c r="I16" s="32"/>
      <c r="J16" s="32"/>
      <c r="K16" s="34"/>
      <c r="L16" s="34"/>
      <c r="M16" s="29"/>
      <c r="N16" s="32"/>
      <c r="O16" s="34"/>
      <c r="P16" s="34"/>
      <c r="Q16" s="29">
        <v>5</v>
      </c>
      <c r="R16" s="34"/>
      <c r="S16" s="30">
        <v>754</v>
      </c>
    </row>
    <row r="17" spans="1:19" ht="15">
      <c r="A17" s="26">
        <v>13</v>
      </c>
      <c r="B17" s="27" t="s">
        <v>1021</v>
      </c>
      <c r="C17" s="26">
        <v>475</v>
      </c>
      <c r="D17" s="26">
        <v>216</v>
      </c>
      <c r="E17" s="26">
        <v>27</v>
      </c>
      <c r="F17" s="26">
        <v>0</v>
      </c>
      <c r="G17" s="28">
        <f t="shared" si="0"/>
        <v>718</v>
      </c>
      <c r="H17" s="26"/>
      <c r="I17" s="26"/>
      <c r="J17" s="26"/>
      <c r="K17" s="31"/>
      <c r="L17" s="31"/>
      <c r="M17" s="29">
        <v>15</v>
      </c>
      <c r="N17" s="29"/>
      <c r="O17" s="31"/>
      <c r="P17" s="31"/>
      <c r="Q17" s="29">
        <v>5</v>
      </c>
      <c r="R17" s="31"/>
      <c r="S17" s="30">
        <v>738</v>
      </c>
    </row>
    <row r="18" spans="1:19" ht="15">
      <c r="A18" s="26">
        <v>14</v>
      </c>
      <c r="B18" s="27" t="s">
        <v>1022</v>
      </c>
      <c r="C18" s="26">
        <v>655</v>
      </c>
      <c r="D18" s="26">
        <v>156</v>
      </c>
      <c r="E18" s="26">
        <v>9</v>
      </c>
      <c r="F18" s="26">
        <v>0</v>
      </c>
      <c r="G18" s="28">
        <f t="shared" si="0"/>
        <v>820</v>
      </c>
      <c r="H18" s="26"/>
      <c r="I18" s="26"/>
      <c r="J18" s="26"/>
      <c r="K18" s="31"/>
      <c r="L18" s="31"/>
      <c r="M18" s="29"/>
      <c r="N18" s="29"/>
      <c r="O18" s="31"/>
      <c r="P18" s="31"/>
      <c r="Q18" s="29">
        <v>5</v>
      </c>
      <c r="R18" s="31"/>
      <c r="S18" s="30">
        <v>825</v>
      </c>
    </row>
    <row r="19" spans="1:19" ht="15">
      <c r="A19" s="26">
        <v>15</v>
      </c>
      <c r="B19" s="27" t="s">
        <v>1023</v>
      </c>
      <c r="C19" s="26">
        <v>25</v>
      </c>
      <c r="D19" s="26">
        <v>396</v>
      </c>
      <c r="E19" s="26">
        <v>186</v>
      </c>
      <c r="F19" s="26">
        <v>0</v>
      </c>
      <c r="G19" s="28">
        <f t="shared" si="0"/>
        <v>607</v>
      </c>
      <c r="H19" s="26">
        <v>4</v>
      </c>
      <c r="I19" s="26"/>
      <c r="J19" s="26"/>
      <c r="K19" s="31"/>
      <c r="L19" s="31"/>
      <c r="M19" s="29"/>
      <c r="N19" s="29"/>
      <c r="O19" s="31"/>
      <c r="P19" s="31"/>
      <c r="Q19" s="29">
        <v>5</v>
      </c>
      <c r="R19" s="31"/>
      <c r="S19" s="30">
        <v>607</v>
      </c>
    </row>
    <row r="20" spans="1:19" ht="15">
      <c r="A20" s="26">
        <v>16</v>
      </c>
      <c r="B20" s="27" t="s">
        <v>1024</v>
      </c>
      <c r="C20" s="26">
        <v>295</v>
      </c>
      <c r="D20" s="26">
        <v>236</v>
      </c>
      <c r="E20" s="26">
        <v>24</v>
      </c>
      <c r="F20" s="26">
        <v>0</v>
      </c>
      <c r="G20" s="28">
        <f t="shared" si="0"/>
        <v>555</v>
      </c>
      <c r="H20" s="26"/>
      <c r="I20" s="26"/>
      <c r="J20" s="26"/>
      <c r="K20" s="31"/>
      <c r="L20" s="31"/>
      <c r="M20" s="29"/>
      <c r="N20" s="29"/>
      <c r="O20" s="31"/>
      <c r="P20" s="31"/>
      <c r="Q20" s="29">
        <v>5</v>
      </c>
      <c r="R20" s="31"/>
      <c r="S20" s="30">
        <v>560</v>
      </c>
    </row>
    <row r="21" spans="1:19" ht="15">
      <c r="A21" s="26">
        <v>17</v>
      </c>
      <c r="B21" s="27" t="s">
        <v>1025</v>
      </c>
      <c r="C21" s="26">
        <v>415</v>
      </c>
      <c r="D21" s="26">
        <v>316</v>
      </c>
      <c r="E21" s="26">
        <v>3</v>
      </c>
      <c r="F21" s="26">
        <v>0</v>
      </c>
      <c r="G21" s="28">
        <f t="shared" si="0"/>
        <v>734</v>
      </c>
      <c r="H21" s="26"/>
      <c r="I21" s="26"/>
      <c r="J21" s="26"/>
      <c r="K21" s="31"/>
      <c r="L21" s="31"/>
      <c r="M21" s="29"/>
      <c r="N21" s="29"/>
      <c r="O21" s="31"/>
      <c r="P21" s="31"/>
      <c r="Q21" s="29">
        <v>5</v>
      </c>
      <c r="R21" s="31"/>
      <c r="S21" s="30">
        <v>739</v>
      </c>
    </row>
    <row r="22" spans="1:19" ht="15">
      <c r="A22" s="26">
        <v>18</v>
      </c>
      <c r="B22" s="27" t="s">
        <v>1026</v>
      </c>
      <c r="C22" s="26">
        <v>10</v>
      </c>
      <c r="D22" s="26">
        <v>184</v>
      </c>
      <c r="E22" s="26">
        <v>300</v>
      </c>
      <c r="F22" s="26">
        <v>0</v>
      </c>
      <c r="G22" s="28">
        <f t="shared" si="0"/>
        <v>494</v>
      </c>
      <c r="H22" s="26"/>
      <c r="I22" s="26"/>
      <c r="J22" s="26"/>
      <c r="K22" s="31"/>
      <c r="L22" s="31"/>
      <c r="M22" s="29"/>
      <c r="N22" s="29"/>
      <c r="O22" s="31"/>
      <c r="P22" s="31"/>
      <c r="Q22" s="29">
        <v>5</v>
      </c>
      <c r="R22" s="31"/>
      <c r="S22" s="30">
        <v>499</v>
      </c>
    </row>
    <row r="23" spans="1:19" ht="15">
      <c r="A23" s="26">
        <v>19</v>
      </c>
      <c r="B23" s="27" t="s">
        <v>1027</v>
      </c>
      <c r="C23" s="26">
        <v>45</v>
      </c>
      <c r="D23" s="26">
        <v>460</v>
      </c>
      <c r="E23" s="26">
        <v>120</v>
      </c>
      <c r="F23" s="26">
        <v>0</v>
      </c>
      <c r="G23" s="28">
        <f t="shared" si="0"/>
        <v>625</v>
      </c>
      <c r="H23" s="26"/>
      <c r="I23" s="26"/>
      <c r="J23" s="26"/>
      <c r="K23" s="31"/>
      <c r="L23" s="31"/>
      <c r="M23" s="29"/>
      <c r="N23" s="29"/>
      <c r="O23" s="31"/>
      <c r="P23" s="31"/>
      <c r="Q23" s="29">
        <v>5</v>
      </c>
      <c r="R23" s="31"/>
      <c r="S23" s="30">
        <v>630</v>
      </c>
    </row>
    <row r="24" spans="1:19" ht="15">
      <c r="A24" s="26">
        <v>20</v>
      </c>
      <c r="B24" s="27" t="s">
        <v>1028</v>
      </c>
      <c r="C24" s="26">
        <v>145</v>
      </c>
      <c r="D24" s="26">
        <v>360</v>
      </c>
      <c r="E24" s="26">
        <v>117</v>
      </c>
      <c r="F24" s="26">
        <v>0</v>
      </c>
      <c r="G24" s="28">
        <f t="shared" si="0"/>
        <v>622</v>
      </c>
      <c r="H24" s="26"/>
      <c r="I24" s="26"/>
      <c r="J24" s="26"/>
      <c r="K24" s="31"/>
      <c r="L24" s="31"/>
      <c r="M24" s="29"/>
      <c r="N24" s="29"/>
      <c r="O24" s="31"/>
      <c r="P24" s="31"/>
      <c r="Q24" s="29">
        <v>5</v>
      </c>
      <c r="R24" s="31"/>
      <c r="S24" s="30">
        <v>627</v>
      </c>
    </row>
    <row r="25" spans="1:19" ht="15">
      <c r="A25" s="26">
        <v>21</v>
      </c>
      <c r="B25" s="27" t="s">
        <v>1029</v>
      </c>
      <c r="C25" s="8">
        <v>580</v>
      </c>
      <c r="D25" s="8">
        <v>152</v>
      </c>
      <c r="E25" s="26">
        <v>6</v>
      </c>
      <c r="F25" s="26">
        <v>0</v>
      </c>
      <c r="G25" s="28">
        <f t="shared" si="0"/>
        <v>738</v>
      </c>
      <c r="H25" s="26"/>
      <c r="I25" s="26"/>
      <c r="J25" s="26"/>
      <c r="K25" s="31"/>
      <c r="L25" s="31"/>
      <c r="M25" s="29"/>
      <c r="N25" s="29"/>
      <c r="O25" s="31"/>
      <c r="P25" s="31"/>
      <c r="Q25" s="29">
        <v>5</v>
      </c>
      <c r="R25" s="31"/>
      <c r="S25" s="30">
        <v>743</v>
      </c>
    </row>
    <row r="26" spans="1:19" ht="15">
      <c r="A26" s="26">
        <v>22</v>
      </c>
      <c r="B26" s="27" t="s">
        <v>1030</v>
      </c>
      <c r="C26" s="8">
        <v>335</v>
      </c>
      <c r="D26" s="8">
        <v>300</v>
      </c>
      <c r="E26" s="26">
        <v>66</v>
      </c>
      <c r="F26" s="26">
        <v>0</v>
      </c>
      <c r="G26" s="28">
        <f t="shared" si="0"/>
        <v>701</v>
      </c>
      <c r="H26" s="26"/>
      <c r="I26" s="26"/>
      <c r="J26" s="26"/>
      <c r="K26" s="31"/>
      <c r="L26" s="31"/>
      <c r="M26" s="29"/>
      <c r="N26" s="29"/>
      <c r="O26" s="31"/>
      <c r="P26" s="31"/>
      <c r="Q26" s="29">
        <v>5</v>
      </c>
      <c r="R26" s="31"/>
      <c r="S26" s="30">
        <v>706</v>
      </c>
    </row>
    <row r="27" spans="1:19" ht="15">
      <c r="A27" s="26">
        <v>23</v>
      </c>
      <c r="B27" s="27" t="s">
        <v>1031</v>
      </c>
      <c r="C27" s="8">
        <v>445</v>
      </c>
      <c r="D27" s="8">
        <v>216</v>
      </c>
      <c r="E27" s="26">
        <v>21</v>
      </c>
      <c r="F27" s="26">
        <v>0</v>
      </c>
      <c r="G27" s="28">
        <f t="shared" si="0"/>
        <v>682</v>
      </c>
      <c r="H27" s="26">
        <v>4</v>
      </c>
      <c r="I27" s="26"/>
      <c r="J27" s="26"/>
      <c r="K27" s="31"/>
      <c r="L27" s="31"/>
      <c r="M27" s="29"/>
      <c r="N27" s="29"/>
      <c r="O27" s="31"/>
      <c r="P27" s="31"/>
      <c r="Q27" s="29">
        <v>5</v>
      </c>
      <c r="R27" s="31"/>
      <c r="S27" s="30">
        <v>682</v>
      </c>
    </row>
    <row r="28" spans="1:19" ht="15">
      <c r="A28" s="26">
        <v>24</v>
      </c>
      <c r="B28" s="27" t="s">
        <v>1032</v>
      </c>
      <c r="C28" s="8">
        <v>370</v>
      </c>
      <c r="D28" s="8">
        <v>252</v>
      </c>
      <c r="E28" s="26">
        <v>45</v>
      </c>
      <c r="F28" s="26">
        <v>0</v>
      </c>
      <c r="G28" s="28">
        <f t="shared" si="0"/>
        <v>667</v>
      </c>
      <c r="H28" s="26"/>
      <c r="I28" s="26">
        <v>5</v>
      </c>
      <c r="J28" s="26"/>
      <c r="K28" s="31"/>
      <c r="L28" s="31"/>
      <c r="M28" s="29"/>
      <c r="N28" s="29"/>
      <c r="O28" s="31"/>
      <c r="P28" s="31"/>
      <c r="Q28" s="29">
        <v>5</v>
      </c>
      <c r="R28" s="31"/>
      <c r="S28" s="30">
        <v>677</v>
      </c>
    </row>
    <row r="29" spans="1:19" ht="15">
      <c r="A29" s="26">
        <v>25</v>
      </c>
      <c r="B29" s="27" t="s">
        <v>1033</v>
      </c>
      <c r="C29" s="8">
        <v>410</v>
      </c>
      <c r="D29" s="8">
        <v>300</v>
      </c>
      <c r="E29" s="26">
        <v>27</v>
      </c>
      <c r="F29" s="26">
        <v>0</v>
      </c>
      <c r="G29" s="28">
        <f t="shared" si="0"/>
        <v>737</v>
      </c>
      <c r="H29" s="26"/>
      <c r="I29" s="26"/>
      <c r="J29" s="26"/>
      <c r="K29" s="31"/>
      <c r="L29" s="31"/>
      <c r="M29" s="29"/>
      <c r="N29" s="29"/>
      <c r="O29" s="31"/>
      <c r="P29" s="31"/>
      <c r="Q29" s="29">
        <v>5</v>
      </c>
      <c r="R29" s="31"/>
      <c r="S29" s="30">
        <v>742</v>
      </c>
    </row>
    <row r="30" spans="1:19" ht="15">
      <c r="A30" s="26">
        <v>26</v>
      </c>
      <c r="B30" s="27" t="s">
        <v>1034</v>
      </c>
      <c r="C30" s="8">
        <v>20</v>
      </c>
      <c r="D30" s="8">
        <v>300</v>
      </c>
      <c r="E30" s="26">
        <v>201</v>
      </c>
      <c r="F30" s="26">
        <v>0</v>
      </c>
      <c r="G30" s="28">
        <f t="shared" si="0"/>
        <v>521</v>
      </c>
      <c r="H30" s="26"/>
      <c r="I30" s="26"/>
      <c r="J30" s="26"/>
      <c r="K30" s="31"/>
      <c r="L30" s="31"/>
      <c r="M30" s="29"/>
      <c r="N30" s="29"/>
      <c r="O30" s="31"/>
      <c r="P30" s="31"/>
      <c r="Q30" s="29">
        <v>5</v>
      </c>
      <c r="R30" s="31"/>
      <c r="S30" s="30">
        <v>526</v>
      </c>
    </row>
    <row r="31" spans="1:19" ht="15">
      <c r="A31" s="26">
        <v>27</v>
      </c>
      <c r="B31" s="27" t="s">
        <v>1035</v>
      </c>
      <c r="C31" s="8">
        <v>585</v>
      </c>
      <c r="D31" s="8">
        <v>284</v>
      </c>
      <c r="E31" s="26">
        <v>21</v>
      </c>
      <c r="F31" s="26">
        <v>0</v>
      </c>
      <c r="G31" s="28">
        <f t="shared" si="0"/>
        <v>890</v>
      </c>
      <c r="H31" s="26"/>
      <c r="I31" s="26"/>
      <c r="J31" s="26"/>
      <c r="K31" s="31"/>
      <c r="L31" s="31"/>
      <c r="M31" s="29"/>
      <c r="N31" s="29"/>
      <c r="O31" s="31"/>
      <c r="P31" s="31"/>
      <c r="Q31" s="29">
        <v>5</v>
      </c>
      <c r="R31" s="31"/>
      <c r="S31" s="30">
        <v>895</v>
      </c>
    </row>
    <row r="32" spans="1:19" ht="15">
      <c r="A32" s="26">
        <v>28</v>
      </c>
      <c r="B32" s="27" t="s">
        <v>1036</v>
      </c>
      <c r="C32" s="8">
        <v>385</v>
      </c>
      <c r="D32" s="8">
        <v>212</v>
      </c>
      <c r="E32" s="26">
        <v>21</v>
      </c>
      <c r="F32" s="26">
        <v>0</v>
      </c>
      <c r="G32" s="28">
        <f t="shared" si="0"/>
        <v>618</v>
      </c>
      <c r="H32" s="26"/>
      <c r="I32" s="26"/>
      <c r="J32" s="26"/>
      <c r="K32" s="31"/>
      <c r="L32" s="31"/>
      <c r="M32" s="29"/>
      <c r="N32" s="29"/>
      <c r="O32" s="31"/>
      <c r="P32" s="31"/>
      <c r="Q32" s="29">
        <v>5</v>
      </c>
      <c r="R32" s="31"/>
      <c r="S32" s="30">
        <v>623</v>
      </c>
    </row>
    <row r="33" spans="1:19" ht="15">
      <c r="A33" s="26">
        <v>29</v>
      </c>
      <c r="B33" s="27" t="s">
        <v>1037</v>
      </c>
      <c r="C33" s="8">
        <v>245</v>
      </c>
      <c r="D33" s="8">
        <v>364</v>
      </c>
      <c r="E33" s="26">
        <v>36</v>
      </c>
      <c r="F33" s="26">
        <v>0</v>
      </c>
      <c r="G33" s="28">
        <f t="shared" si="0"/>
        <v>645</v>
      </c>
      <c r="H33" s="26">
        <v>6</v>
      </c>
      <c r="I33" s="26"/>
      <c r="J33" s="26"/>
      <c r="K33" s="31"/>
      <c r="L33" s="31"/>
      <c r="M33" s="29"/>
      <c r="N33" s="29"/>
      <c r="O33" s="31"/>
      <c r="P33" s="31"/>
      <c r="Q33" s="29">
        <v>5</v>
      </c>
      <c r="R33" s="31"/>
      <c r="S33" s="30">
        <v>645</v>
      </c>
    </row>
    <row r="34" spans="1:19" ht="15">
      <c r="A34" s="26">
        <v>30</v>
      </c>
      <c r="B34" s="27"/>
      <c r="C34" s="8"/>
      <c r="D34" s="8"/>
      <c r="E34" s="26"/>
      <c r="F34" s="26"/>
      <c r="G34" s="28"/>
      <c r="H34" s="26"/>
      <c r="I34" s="26"/>
      <c r="J34" s="26"/>
      <c r="K34" s="31"/>
      <c r="L34" s="31"/>
      <c r="M34" s="29"/>
      <c r="N34" s="29"/>
      <c r="O34" s="31"/>
      <c r="P34" s="31"/>
      <c r="Q34" s="29"/>
      <c r="R34" s="31"/>
      <c r="S34" s="30"/>
    </row>
    <row r="35" spans="1:19" ht="15">
      <c r="A35" s="99">
        <v>31</v>
      </c>
      <c r="B35" s="27"/>
      <c r="C35" s="100"/>
      <c r="D35" s="100"/>
      <c r="E35" s="99"/>
      <c r="F35" s="99"/>
      <c r="G35" s="110"/>
      <c r="H35" s="99"/>
      <c r="I35" s="99"/>
      <c r="J35" s="99"/>
      <c r="L35" s="102"/>
      <c r="M35" s="99"/>
      <c r="N35" s="99"/>
      <c r="O35" s="102"/>
      <c r="P35" s="102"/>
      <c r="Q35" s="99"/>
      <c r="R35" s="102"/>
      <c r="S35" s="111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S27"/>
    </sheetView>
  </sheetViews>
  <sheetFormatPr defaultColWidth="9.140625" defaultRowHeight="15"/>
  <sheetData>
    <row r="1" spans="1:19" ht="15">
      <c r="A1" s="321" t="s">
        <v>100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47"/>
      <c r="L2" s="22"/>
      <c r="M2" s="22"/>
      <c r="N2" s="22"/>
      <c r="O2" s="22"/>
      <c r="P2" s="23" t="s">
        <v>0</v>
      </c>
      <c r="Q2" s="23"/>
      <c r="R2" s="23"/>
      <c r="S2" s="23">
        <f>SUM(S5:S27)</f>
        <v>20782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101</v>
      </c>
      <c r="H3" s="306" t="s">
        <v>11</v>
      </c>
      <c r="I3" s="306" t="s">
        <v>4</v>
      </c>
      <c r="J3" s="306" t="s">
        <v>12</v>
      </c>
      <c r="K3" s="323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24"/>
      <c r="L4" s="307"/>
      <c r="M4" s="307"/>
      <c r="N4" s="307"/>
      <c r="O4" s="307"/>
      <c r="P4" s="307"/>
      <c r="Q4" s="25"/>
      <c r="R4" s="307"/>
      <c r="S4" s="310"/>
    </row>
    <row r="5" spans="1:19" ht="26.25" thickBot="1">
      <c r="A5" s="26">
        <v>1</v>
      </c>
      <c r="B5" s="48" t="s">
        <v>102</v>
      </c>
      <c r="C5" s="26">
        <v>260</v>
      </c>
      <c r="D5" s="26">
        <v>648</v>
      </c>
      <c r="E5" s="26">
        <v>30</v>
      </c>
      <c r="F5" s="26"/>
      <c r="G5" s="28">
        <f>C5+D5+E5-F5</f>
        <v>938</v>
      </c>
      <c r="H5" s="26">
        <v>0</v>
      </c>
      <c r="I5" s="26">
        <v>5</v>
      </c>
      <c r="J5" s="26">
        <v>0</v>
      </c>
      <c r="K5" s="29">
        <v>0</v>
      </c>
      <c r="L5" s="29">
        <v>5</v>
      </c>
      <c r="M5" s="29">
        <v>5</v>
      </c>
      <c r="N5" s="29">
        <v>3</v>
      </c>
      <c r="O5" s="29">
        <v>5</v>
      </c>
      <c r="P5" s="29">
        <v>0</v>
      </c>
      <c r="Q5" s="29">
        <v>5</v>
      </c>
      <c r="R5" s="29">
        <v>0</v>
      </c>
      <c r="S5" s="30">
        <f>G5+SUM(H5:Q5)</f>
        <v>966</v>
      </c>
    </row>
    <row r="6" spans="1:19" ht="39" thickBot="1">
      <c r="A6" s="26">
        <v>2</v>
      </c>
      <c r="B6" s="49" t="s">
        <v>103</v>
      </c>
      <c r="C6" s="26">
        <v>90</v>
      </c>
      <c r="D6" s="26">
        <v>556</v>
      </c>
      <c r="E6" s="26">
        <v>159</v>
      </c>
      <c r="F6" s="26"/>
      <c r="G6" s="28">
        <f>C6+D6+E6-F6</f>
        <v>805</v>
      </c>
      <c r="H6" s="26">
        <v>-50</v>
      </c>
      <c r="I6" s="26">
        <v>0</v>
      </c>
      <c r="J6" s="26">
        <v>0</v>
      </c>
      <c r="K6" s="26">
        <v>0</v>
      </c>
      <c r="L6" s="26">
        <v>0</v>
      </c>
      <c r="M6" s="29">
        <v>0</v>
      </c>
      <c r="N6" s="29">
        <v>0</v>
      </c>
      <c r="O6" s="29">
        <v>5</v>
      </c>
      <c r="P6" s="29">
        <v>0</v>
      </c>
      <c r="Q6" s="29">
        <v>5</v>
      </c>
      <c r="R6" s="26">
        <v>0</v>
      </c>
      <c r="S6" s="30">
        <f aca="true" t="shared" si="0" ref="S6:S27">G6+SUM(H6:Q6)</f>
        <v>765</v>
      </c>
    </row>
    <row r="7" spans="1:19" ht="26.25" thickBot="1">
      <c r="A7" s="26">
        <v>3</v>
      </c>
      <c r="B7" s="49" t="s">
        <v>104</v>
      </c>
      <c r="C7" s="26">
        <v>300</v>
      </c>
      <c r="D7" s="26">
        <v>472</v>
      </c>
      <c r="E7" s="26">
        <v>78</v>
      </c>
      <c r="F7" s="26"/>
      <c r="G7" s="28">
        <f>C7+D7+E7-F7</f>
        <v>850</v>
      </c>
      <c r="H7" s="26">
        <v>-10</v>
      </c>
      <c r="I7" s="26">
        <v>0</v>
      </c>
      <c r="J7" s="26">
        <v>0</v>
      </c>
      <c r="K7" s="26">
        <v>0</v>
      </c>
      <c r="L7" s="26">
        <v>0</v>
      </c>
      <c r="M7" s="29">
        <v>0</v>
      </c>
      <c r="N7" s="29">
        <v>0</v>
      </c>
      <c r="O7" s="29">
        <v>5</v>
      </c>
      <c r="P7" s="29">
        <v>0</v>
      </c>
      <c r="Q7" s="29">
        <v>5</v>
      </c>
      <c r="R7" s="26">
        <v>0</v>
      </c>
      <c r="S7" s="30">
        <f>G7+SUM(H7:Q7)</f>
        <v>850</v>
      </c>
    </row>
    <row r="8" spans="1:19" ht="39" thickBot="1">
      <c r="A8" s="26">
        <v>4</v>
      </c>
      <c r="B8" s="49" t="s">
        <v>105</v>
      </c>
      <c r="C8" s="26">
        <v>80</v>
      </c>
      <c r="D8" s="26">
        <v>684</v>
      </c>
      <c r="E8" s="26">
        <v>69</v>
      </c>
      <c r="F8" s="26"/>
      <c r="G8" s="28">
        <f>C8+D8+E8-F8</f>
        <v>833</v>
      </c>
      <c r="H8" s="26">
        <v>-20</v>
      </c>
      <c r="I8" s="26">
        <v>0</v>
      </c>
      <c r="J8" s="26">
        <v>0</v>
      </c>
      <c r="K8" s="26">
        <v>0</v>
      </c>
      <c r="L8" s="26">
        <v>0</v>
      </c>
      <c r="M8" s="29">
        <v>0</v>
      </c>
      <c r="N8" s="29">
        <v>0</v>
      </c>
      <c r="O8" s="29">
        <v>5</v>
      </c>
      <c r="P8" s="29">
        <v>0</v>
      </c>
      <c r="Q8" s="29">
        <v>5</v>
      </c>
      <c r="R8" s="26">
        <v>0</v>
      </c>
      <c r="S8" s="30">
        <f>G8+SUM(H8:Q8)</f>
        <v>823</v>
      </c>
    </row>
    <row r="9" spans="1:19" ht="39" thickBot="1">
      <c r="A9" s="26">
        <v>5</v>
      </c>
      <c r="B9" s="49" t="s">
        <v>106</v>
      </c>
      <c r="C9" s="26">
        <v>120</v>
      </c>
      <c r="D9" s="26">
        <v>632</v>
      </c>
      <c r="E9" s="26">
        <v>87</v>
      </c>
      <c r="F9" s="26"/>
      <c r="G9" s="28">
        <f aca="true" t="shared" si="1" ref="G9:G27">C9+D9+E9-F9</f>
        <v>839</v>
      </c>
      <c r="H9" s="26">
        <v>-60</v>
      </c>
      <c r="I9" s="26">
        <v>5</v>
      </c>
      <c r="J9" s="26">
        <v>0</v>
      </c>
      <c r="K9" s="26">
        <v>0</v>
      </c>
      <c r="L9" s="26">
        <v>5</v>
      </c>
      <c r="M9" s="29">
        <v>5</v>
      </c>
      <c r="N9" s="29">
        <v>3</v>
      </c>
      <c r="O9" s="29">
        <v>5</v>
      </c>
      <c r="P9" s="29">
        <v>0</v>
      </c>
      <c r="Q9" s="29">
        <v>5</v>
      </c>
      <c r="R9" s="26"/>
      <c r="S9" s="30">
        <f t="shared" si="0"/>
        <v>807</v>
      </c>
    </row>
    <row r="10" spans="1:19" ht="26.25" thickBot="1">
      <c r="A10" s="26">
        <v>6</v>
      </c>
      <c r="B10" s="49" t="s">
        <v>107</v>
      </c>
      <c r="C10" s="26">
        <v>305</v>
      </c>
      <c r="D10" s="26">
        <v>440</v>
      </c>
      <c r="E10" s="26">
        <v>144</v>
      </c>
      <c r="F10" s="26"/>
      <c r="G10" s="28">
        <f t="shared" si="1"/>
        <v>889</v>
      </c>
      <c r="H10" s="26">
        <v>-30</v>
      </c>
      <c r="I10" s="26">
        <v>0</v>
      </c>
      <c r="J10" s="26">
        <v>0</v>
      </c>
      <c r="K10" s="26">
        <v>0</v>
      </c>
      <c r="L10" s="26">
        <v>0</v>
      </c>
      <c r="M10" s="29">
        <v>0</v>
      </c>
      <c r="N10" s="29">
        <v>0</v>
      </c>
      <c r="O10" s="29">
        <v>5</v>
      </c>
      <c r="P10" s="29">
        <v>0</v>
      </c>
      <c r="Q10" s="29">
        <v>5</v>
      </c>
      <c r="R10" s="26">
        <v>0</v>
      </c>
      <c r="S10" s="30">
        <f t="shared" si="0"/>
        <v>869</v>
      </c>
    </row>
    <row r="11" spans="1:19" ht="26.25" thickBot="1">
      <c r="A11" s="26">
        <v>7</v>
      </c>
      <c r="B11" s="49" t="s">
        <v>108</v>
      </c>
      <c r="C11" s="26">
        <v>280</v>
      </c>
      <c r="D11" s="26">
        <v>504</v>
      </c>
      <c r="E11" s="26">
        <v>75</v>
      </c>
      <c r="F11" s="26"/>
      <c r="G11" s="28">
        <f t="shared" si="1"/>
        <v>859</v>
      </c>
      <c r="H11" s="26">
        <v>-50</v>
      </c>
      <c r="I11" s="26">
        <v>0</v>
      </c>
      <c r="J11" s="26">
        <v>0</v>
      </c>
      <c r="K11" s="26">
        <v>0</v>
      </c>
      <c r="L11" s="26">
        <v>0</v>
      </c>
      <c r="M11" s="29">
        <v>0</v>
      </c>
      <c r="N11" s="29">
        <v>0</v>
      </c>
      <c r="O11" s="29">
        <v>5</v>
      </c>
      <c r="P11" s="29">
        <v>0</v>
      </c>
      <c r="Q11" s="29">
        <v>5</v>
      </c>
      <c r="R11" s="26">
        <v>0</v>
      </c>
      <c r="S11" s="30">
        <f t="shared" si="0"/>
        <v>819</v>
      </c>
    </row>
    <row r="12" spans="1:19" ht="26.25" thickBot="1">
      <c r="A12" s="26">
        <v>8</v>
      </c>
      <c r="B12" s="49" t="s">
        <v>109</v>
      </c>
      <c r="C12" s="26">
        <v>500</v>
      </c>
      <c r="D12" s="26">
        <v>425</v>
      </c>
      <c r="E12" s="26">
        <v>15</v>
      </c>
      <c r="F12" s="26"/>
      <c r="G12" s="28">
        <f t="shared" si="1"/>
        <v>940</v>
      </c>
      <c r="H12" s="26">
        <v>-20</v>
      </c>
      <c r="I12" s="26">
        <v>5</v>
      </c>
      <c r="J12" s="26">
        <v>0</v>
      </c>
      <c r="K12" s="26">
        <v>0</v>
      </c>
      <c r="L12" s="26">
        <v>5</v>
      </c>
      <c r="M12" s="29">
        <v>0</v>
      </c>
      <c r="N12" s="29">
        <v>3</v>
      </c>
      <c r="O12" s="29">
        <v>5</v>
      </c>
      <c r="P12" s="29">
        <v>0</v>
      </c>
      <c r="Q12" s="29">
        <v>5</v>
      </c>
      <c r="R12" s="26">
        <v>0</v>
      </c>
      <c r="S12" s="30">
        <f t="shared" si="0"/>
        <v>943</v>
      </c>
    </row>
    <row r="13" spans="1:19" ht="26.25" thickBot="1">
      <c r="A13" s="26">
        <v>9</v>
      </c>
      <c r="B13" s="50" t="s">
        <v>110</v>
      </c>
      <c r="C13" s="51">
        <v>195</v>
      </c>
      <c r="D13" s="51">
        <v>492</v>
      </c>
      <c r="E13" s="51">
        <v>102</v>
      </c>
      <c r="F13" s="51">
        <v>0</v>
      </c>
      <c r="G13" s="28">
        <f t="shared" si="1"/>
        <v>789</v>
      </c>
      <c r="H13" s="51">
        <v>-50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29">
        <v>3</v>
      </c>
      <c r="O13" s="29">
        <v>5</v>
      </c>
      <c r="P13" s="29">
        <v>0</v>
      </c>
      <c r="Q13" s="29">
        <v>5</v>
      </c>
      <c r="R13" s="51">
        <v>0</v>
      </c>
      <c r="S13" s="30">
        <f t="shared" si="0"/>
        <v>752</v>
      </c>
    </row>
    <row r="14" spans="1:19" ht="51.75" thickBot="1">
      <c r="A14" s="26">
        <v>10</v>
      </c>
      <c r="B14" s="50" t="s">
        <v>111</v>
      </c>
      <c r="C14" s="51">
        <v>400</v>
      </c>
      <c r="D14" s="51">
        <v>364</v>
      </c>
      <c r="E14" s="51">
        <v>3</v>
      </c>
      <c r="F14" s="51"/>
      <c r="G14" s="28">
        <f t="shared" si="1"/>
        <v>767</v>
      </c>
      <c r="H14" s="51">
        <v>-10</v>
      </c>
      <c r="I14" s="51">
        <v>0</v>
      </c>
      <c r="J14" s="51">
        <v>0</v>
      </c>
      <c r="K14" s="51">
        <v>0</v>
      </c>
      <c r="L14" s="51">
        <v>0</v>
      </c>
      <c r="M14" s="51">
        <v>5</v>
      </c>
      <c r="N14" s="29">
        <v>3</v>
      </c>
      <c r="O14" s="29">
        <v>5</v>
      </c>
      <c r="P14" s="29">
        <v>0</v>
      </c>
      <c r="Q14" s="29">
        <v>5</v>
      </c>
      <c r="R14" s="51">
        <v>0</v>
      </c>
      <c r="S14" s="30">
        <f t="shared" si="0"/>
        <v>775</v>
      </c>
    </row>
    <row r="15" spans="1:19" ht="39" thickBot="1">
      <c r="A15" s="26">
        <v>11</v>
      </c>
      <c r="B15" s="50" t="s">
        <v>112</v>
      </c>
      <c r="C15" s="51">
        <v>850</v>
      </c>
      <c r="D15" s="51">
        <v>200</v>
      </c>
      <c r="E15" s="51">
        <v>0</v>
      </c>
      <c r="F15" s="51"/>
      <c r="G15" s="28">
        <f t="shared" si="1"/>
        <v>1050</v>
      </c>
      <c r="H15" s="51"/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29">
        <v>3</v>
      </c>
      <c r="O15" s="29">
        <v>5</v>
      </c>
      <c r="P15" s="29">
        <v>0</v>
      </c>
      <c r="Q15" s="29">
        <v>5</v>
      </c>
      <c r="R15" s="51">
        <v>0</v>
      </c>
      <c r="S15" s="30">
        <f t="shared" si="0"/>
        <v>1063</v>
      </c>
    </row>
    <row r="16" spans="1:19" ht="39" thickBot="1">
      <c r="A16" s="26">
        <v>12</v>
      </c>
      <c r="B16" s="50" t="s">
        <v>113</v>
      </c>
      <c r="C16" s="51">
        <v>910</v>
      </c>
      <c r="D16" s="51">
        <v>172</v>
      </c>
      <c r="E16" s="51">
        <v>0</v>
      </c>
      <c r="F16" s="51"/>
      <c r="G16" s="28">
        <f>C16+D16+E16-F16</f>
        <v>1082</v>
      </c>
      <c r="H16" s="51"/>
      <c r="I16" s="51">
        <v>0</v>
      </c>
      <c r="J16" s="51">
        <v>0</v>
      </c>
      <c r="K16" s="51">
        <v>0</v>
      </c>
      <c r="L16" s="51">
        <v>0</v>
      </c>
      <c r="M16" s="51">
        <v>5</v>
      </c>
      <c r="N16" s="29">
        <v>3</v>
      </c>
      <c r="O16" s="29">
        <v>5</v>
      </c>
      <c r="P16" s="29">
        <v>0</v>
      </c>
      <c r="Q16" s="29">
        <v>5</v>
      </c>
      <c r="R16" s="51">
        <v>0</v>
      </c>
      <c r="S16" s="30">
        <f t="shared" si="0"/>
        <v>1100</v>
      </c>
    </row>
    <row r="17" spans="1:19" ht="39" thickBot="1">
      <c r="A17" s="26">
        <v>13</v>
      </c>
      <c r="B17" s="50" t="s">
        <v>114</v>
      </c>
      <c r="C17" s="51">
        <v>370</v>
      </c>
      <c r="D17" s="51">
        <v>528</v>
      </c>
      <c r="E17" s="51">
        <v>15</v>
      </c>
      <c r="F17" s="51">
        <v>0</v>
      </c>
      <c r="G17" s="28">
        <f>C17+D17+E17-F17</f>
        <v>913</v>
      </c>
      <c r="H17" s="51">
        <v>-30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29">
        <v>3</v>
      </c>
      <c r="O17" s="29">
        <v>5</v>
      </c>
      <c r="P17" s="29">
        <v>0</v>
      </c>
      <c r="Q17" s="29">
        <v>5</v>
      </c>
      <c r="R17" s="51"/>
      <c r="S17" s="30">
        <f t="shared" si="0"/>
        <v>896</v>
      </c>
    </row>
    <row r="18" spans="1:19" ht="26.25" thickBot="1">
      <c r="A18" s="26">
        <v>14</v>
      </c>
      <c r="B18" s="49" t="s">
        <v>115</v>
      </c>
      <c r="C18" s="26">
        <v>900</v>
      </c>
      <c r="D18" s="26">
        <v>220</v>
      </c>
      <c r="E18" s="26">
        <v>3</v>
      </c>
      <c r="F18" s="26"/>
      <c r="G18" s="28">
        <f t="shared" si="1"/>
        <v>1123</v>
      </c>
      <c r="H18" s="26">
        <v>0</v>
      </c>
      <c r="I18" s="26">
        <v>5</v>
      </c>
      <c r="J18" s="26">
        <v>0</v>
      </c>
      <c r="K18" s="26">
        <v>0</v>
      </c>
      <c r="L18" s="26">
        <v>5</v>
      </c>
      <c r="M18" s="29">
        <v>0</v>
      </c>
      <c r="N18" s="29">
        <v>3</v>
      </c>
      <c r="O18" s="29">
        <v>5</v>
      </c>
      <c r="P18" s="29">
        <v>0</v>
      </c>
      <c r="Q18" s="29">
        <v>5</v>
      </c>
      <c r="R18" s="26">
        <v>0</v>
      </c>
      <c r="S18" s="30">
        <f t="shared" si="0"/>
        <v>1146</v>
      </c>
    </row>
    <row r="19" spans="1:19" ht="39" thickBot="1">
      <c r="A19" s="26">
        <v>15</v>
      </c>
      <c r="B19" s="49" t="s">
        <v>116</v>
      </c>
      <c r="C19" s="26">
        <v>175</v>
      </c>
      <c r="D19" s="26">
        <v>656</v>
      </c>
      <c r="E19" s="26">
        <v>27</v>
      </c>
      <c r="F19" s="26">
        <v>0</v>
      </c>
      <c r="G19" s="28">
        <f>C19+D19+E19-F19</f>
        <v>858</v>
      </c>
      <c r="H19" s="26">
        <v>-10</v>
      </c>
      <c r="I19" s="26">
        <v>0</v>
      </c>
      <c r="J19" s="26">
        <v>0</v>
      </c>
      <c r="K19" s="26">
        <v>0</v>
      </c>
      <c r="L19" s="26">
        <v>0</v>
      </c>
      <c r="M19" s="29">
        <v>0</v>
      </c>
      <c r="N19" s="29">
        <v>0</v>
      </c>
      <c r="O19" s="29">
        <v>5</v>
      </c>
      <c r="P19" s="29">
        <v>0</v>
      </c>
      <c r="Q19" s="29">
        <v>5</v>
      </c>
      <c r="R19" s="26">
        <v>0</v>
      </c>
      <c r="S19" s="30">
        <f>G19+SUM(H19:Q19)</f>
        <v>858</v>
      </c>
    </row>
    <row r="20" spans="1:19" ht="39" thickBot="1">
      <c r="A20" s="26">
        <v>16</v>
      </c>
      <c r="B20" s="49" t="s">
        <v>117</v>
      </c>
      <c r="C20" s="26">
        <v>700</v>
      </c>
      <c r="D20" s="26">
        <v>300</v>
      </c>
      <c r="E20" s="26">
        <v>6</v>
      </c>
      <c r="F20" s="26">
        <v>0</v>
      </c>
      <c r="G20" s="28">
        <f t="shared" si="1"/>
        <v>1006</v>
      </c>
      <c r="H20" s="26">
        <v>-10</v>
      </c>
      <c r="I20" s="26">
        <v>0</v>
      </c>
      <c r="J20" s="26">
        <v>0</v>
      </c>
      <c r="K20" s="26">
        <v>0</v>
      </c>
      <c r="L20" s="26">
        <v>0</v>
      </c>
      <c r="M20" s="29">
        <v>0</v>
      </c>
      <c r="N20" s="29">
        <v>3</v>
      </c>
      <c r="O20" s="29">
        <v>5</v>
      </c>
      <c r="P20" s="29">
        <v>0</v>
      </c>
      <c r="Q20" s="29">
        <v>5</v>
      </c>
      <c r="R20" s="26">
        <v>0</v>
      </c>
      <c r="S20" s="30">
        <f t="shared" si="0"/>
        <v>1009</v>
      </c>
    </row>
    <row r="21" spans="1:19" ht="26.25" thickBot="1">
      <c r="A21" s="26">
        <v>17</v>
      </c>
      <c r="B21" s="49" t="s">
        <v>118</v>
      </c>
      <c r="C21" s="26">
        <v>55</v>
      </c>
      <c r="D21" s="26">
        <v>684</v>
      </c>
      <c r="E21" s="26">
        <v>69</v>
      </c>
      <c r="F21" s="26">
        <v>0</v>
      </c>
      <c r="G21" s="28">
        <f t="shared" si="1"/>
        <v>808</v>
      </c>
      <c r="H21" s="26">
        <v>-100</v>
      </c>
      <c r="I21" s="26">
        <v>0</v>
      </c>
      <c r="J21" s="26">
        <v>0</v>
      </c>
      <c r="K21" s="26">
        <v>0</v>
      </c>
      <c r="L21" s="26">
        <v>0</v>
      </c>
      <c r="M21" s="29">
        <v>0</v>
      </c>
      <c r="N21" s="29">
        <v>0</v>
      </c>
      <c r="O21" s="29">
        <v>5</v>
      </c>
      <c r="P21" s="29">
        <v>0</v>
      </c>
      <c r="Q21" s="29">
        <v>5</v>
      </c>
      <c r="R21" s="26">
        <v>0</v>
      </c>
      <c r="S21" s="30">
        <f t="shared" si="0"/>
        <v>718</v>
      </c>
    </row>
    <row r="22" spans="1:19" ht="26.25" thickBot="1">
      <c r="A22" s="26">
        <v>18</v>
      </c>
      <c r="B22" s="49" t="s">
        <v>119</v>
      </c>
      <c r="C22" s="26">
        <v>325</v>
      </c>
      <c r="D22" s="26">
        <v>612</v>
      </c>
      <c r="E22" s="26">
        <v>3</v>
      </c>
      <c r="F22" s="26">
        <v>0</v>
      </c>
      <c r="G22" s="28">
        <f t="shared" si="1"/>
        <v>940</v>
      </c>
      <c r="H22" s="26">
        <v>-10</v>
      </c>
      <c r="I22" s="26">
        <v>0</v>
      </c>
      <c r="J22" s="26">
        <v>0</v>
      </c>
      <c r="K22" s="26">
        <v>0</v>
      </c>
      <c r="L22" s="26">
        <v>0</v>
      </c>
      <c r="M22" s="29">
        <v>0</v>
      </c>
      <c r="N22" s="29">
        <v>3</v>
      </c>
      <c r="O22" s="29">
        <v>5</v>
      </c>
      <c r="P22" s="29">
        <v>0</v>
      </c>
      <c r="Q22" s="29">
        <v>5</v>
      </c>
      <c r="R22" s="26">
        <v>0</v>
      </c>
      <c r="S22" s="30">
        <f t="shared" si="0"/>
        <v>943</v>
      </c>
    </row>
    <row r="23" spans="1:19" ht="39" thickBot="1">
      <c r="A23" s="26">
        <v>19</v>
      </c>
      <c r="B23" s="49" t="s">
        <v>120</v>
      </c>
      <c r="C23" s="26">
        <v>850</v>
      </c>
      <c r="D23" s="26">
        <v>204</v>
      </c>
      <c r="E23" s="26">
        <v>0</v>
      </c>
      <c r="F23" s="26"/>
      <c r="G23" s="28">
        <f t="shared" si="1"/>
        <v>1054</v>
      </c>
      <c r="H23" s="26">
        <v>-10</v>
      </c>
      <c r="I23" s="26">
        <v>0</v>
      </c>
      <c r="J23" s="26">
        <v>0</v>
      </c>
      <c r="K23" s="26">
        <v>0</v>
      </c>
      <c r="L23" s="26">
        <v>0</v>
      </c>
      <c r="M23" s="29">
        <v>5</v>
      </c>
      <c r="N23" s="29">
        <v>3</v>
      </c>
      <c r="O23" s="29">
        <v>5</v>
      </c>
      <c r="P23" s="29">
        <v>0</v>
      </c>
      <c r="Q23" s="29">
        <v>5</v>
      </c>
      <c r="R23" s="26">
        <v>0</v>
      </c>
      <c r="S23" s="30">
        <f t="shared" si="0"/>
        <v>1062</v>
      </c>
    </row>
    <row r="24" spans="1:19" ht="26.25" thickBot="1">
      <c r="A24" s="26">
        <v>20</v>
      </c>
      <c r="B24" s="49" t="s">
        <v>121</v>
      </c>
      <c r="C24" s="26">
        <v>20</v>
      </c>
      <c r="D24" s="26">
        <v>376</v>
      </c>
      <c r="E24" s="26">
        <v>475</v>
      </c>
      <c r="F24" s="26">
        <v>0</v>
      </c>
      <c r="G24" s="28">
        <f t="shared" si="1"/>
        <v>871</v>
      </c>
      <c r="H24" s="26">
        <v>-160</v>
      </c>
      <c r="I24" s="26">
        <v>0</v>
      </c>
      <c r="J24" s="26">
        <v>0</v>
      </c>
      <c r="K24" s="26">
        <v>0</v>
      </c>
      <c r="L24" s="26">
        <v>0</v>
      </c>
      <c r="M24" s="29">
        <v>0</v>
      </c>
      <c r="N24" s="29">
        <v>0</v>
      </c>
      <c r="O24" s="29">
        <v>5</v>
      </c>
      <c r="P24" s="29">
        <v>0</v>
      </c>
      <c r="Q24" s="29">
        <v>5</v>
      </c>
      <c r="R24" s="26">
        <v>0</v>
      </c>
      <c r="S24" s="30">
        <f t="shared" si="0"/>
        <v>721</v>
      </c>
    </row>
    <row r="25" spans="1:19" ht="26.25" thickBot="1">
      <c r="A25" s="26">
        <v>21</v>
      </c>
      <c r="B25" s="49" t="s">
        <v>122</v>
      </c>
      <c r="C25" s="26">
        <v>600</v>
      </c>
      <c r="D25" s="26">
        <v>360</v>
      </c>
      <c r="E25" s="26">
        <v>9</v>
      </c>
      <c r="F25" s="26">
        <v>0</v>
      </c>
      <c r="G25" s="28">
        <f t="shared" si="1"/>
        <v>969</v>
      </c>
      <c r="H25" s="26">
        <v>-10</v>
      </c>
      <c r="I25" s="26">
        <v>0</v>
      </c>
      <c r="J25" s="26">
        <v>0</v>
      </c>
      <c r="K25" s="26">
        <v>0</v>
      </c>
      <c r="L25" s="26">
        <v>0</v>
      </c>
      <c r="M25" s="29">
        <v>0</v>
      </c>
      <c r="N25" s="29">
        <v>3</v>
      </c>
      <c r="O25" s="29">
        <v>5</v>
      </c>
      <c r="P25" s="29">
        <v>0</v>
      </c>
      <c r="Q25" s="29">
        <v>5</v>
      </c>
      <c r="R25" s="26">
        <v>0</v>
      </c>
      <c r="S25" s="30">
        <f t="shared" si="0"/>
        <v>972</v>
      </c>
    </row>
    <row r="26" spans="1:19" ht="39" thickBot="1">
      <c r="A26" s="26">
        <v>22</v>
      </c>
      <c r="B26" s="49" t="s">
        <v>123</v>
      </c>
      <c r="C26" s="8">
        <v>705</v>
      </c>
      <c r="D26" s="8">
        <v>264</v>
      </c>
      <c r="E26" s="26">
        <v>0</v>
      </c>
      <c r="F26" s="26">
        <v>0</v>
      </c>
      <c r="G26" s="28">
        <f t="shared" si="1"/>
        <v>969</v>
      </c>
      <c r="H26" s="26">
        <v>-20</v>
      </c>
      <c r="I26" s="26">
        <v>0</v>
      </c>
      <c r="J26" s="26">
        <v>0</v>
      </c>
      <c r="K26" s="26">
        <v>0</v>
      </c>
      <c r="L26" s="26">
        <v>0</v>
      </c>
      <c r="M26" s="29">
        <v>0</v>
      </c>
      <c r="N26" s="29">
        <v>3</v>
      </c>
      <c r="O26" s="29">
        <v>5</v>
      </c>
      <c r="P26" s="29">
        <v>0</v>
      </c>
      <c r="Q26" s="29">
        <v>5</v>
      </c>
      <c r="R26" s="26">
        <v>0</v>
      </c>
      <c r="S26" s="30">
        <f t="shared" si="0"/>
        <v>962</v>
      </c>
    </row>
    <row r="27" spans="1:19" ht="26.25" thickBot="1">
      <c r="A27" s="26">
        <v>23</v>
      </c>
      <c r="B27" s="49" t="s">
        <v>124</v>
      </c>
      <c r="C27" s="8">
        <v>685</v>
      </c>
      <c r="D27" s="8">
        <v>300</v>
      </c>
      <c r="E27" s="26">
        <v>0</v>
      </c>
      <c r="F27" s="26"/>
      <c r="G27" s="28">
        <f t="shared" si="1"/>
        <v>985</v>
      </c>
      <c r="H27" s="26">
        <v>-40</v>
      </c>
      <c r="I27" s="26">
        <v>0</v>
      </c>
      <c r="J27" s="26">
        <v>0</v>
      </c>
      <c r="K27" s="26">
        <v>0</v>
      </c>
      <c r="L27" s="26">
        <v>0</v>
      </c>
      <c r="M27" s="29">
        <v>5</v>
      </c>
      <c r="N27" s="29">
        <v>3</v>
      </c>
      <c r="O27" s="29">
        <v>5</v>
      </c>
      <c r="P27" s="29">
        <v>0</v>
      </c>
      <c r="Q27" s="29">
        <v>5</v>
      </c>
      <c r="R27" s="26">
        <v>0</v>
      </c>
      <c r="S27" s="30">
        <f t="shared" si="0"/>
        <v>963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K9" sqref="K9"/>
    </sheetView>
  </sheetViews>
  <sheetFormatPr defaultColWidth="9.140625" defaultRowHeight="15"/>
  <sheetData>
    <row r="1" spans="1:19" ht="18.75">
      <c r="A1" s="303" t="s">
        <v>1038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SUM(S5:S18)</f>
        <v>6788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51">
      <c r="A5" s="26">
        <v>1</v>
      </c>
      <c r="B5" s="196" t="s">
        <v>1039</v>
      </c>
      <c r="C5" s="26">
        <v>105</v>
      </c>
      <c r="D5" s="26">
        <v>240</v>
      </c>
      <c r="E5" s="26">
        <v>114</v>
      </c>
      <c r="F5" s="26"/>
      <c r="G5" s="28">
        <f>C5+D5+E5</f>
        <v>459</v>
      </c>
      <c r="H5" s="26"/>
      <c r="I5" s="26"/>
      <c r="J5" s="26"/>
      <c r="K5" s="29"/>
      <c r="L5" s="29">
        <v>5</v>
      </c>
      <c r="M5" s="29">
        <v>5</v>
      </c>
      <c r="N5" s="29"/>
      <c r="O5" s="29"/>
      <c r="P5" s="29"/>
      <c r="Q5" s="29">
        <v>5</v>
      </c>
      <c r="R5" s="29"/>
      <c r="S5" s="30">
        <f>G5+L5+M5+Q5</f>
        <v>474</v>
      </c>
    </row>
    <row r="6" spans="1:19" ht="51">
      <c r="A6" s="26">
        <v>2</v>
      </c>
      <c r="B6" s="196" t="s">
        <v>1040</v>
      </c>
      <c r="C6" s="26">
        <v>315</v>
      </c>
      <c r="D6" s="26">
        <v>220</v>
      </c>
      <c r="E6" s="26">
        <v>21</v>
      </c>
      <c r="F6" s="26"/>
      <c r="G6" s="28">
        <f aca="true" t="shared" si="0" ref="G6:G18">C6+D6+E6</f>
        <v>556</v>
      </c>
      <c r="H6" s="26"/>
      <c r="I6" s="26"/>
      <c r="J6" s="26"/>
      <c r="K6" s="31"/>
      <c r="L6" s="31">
        <v>5</v>
      </c>
      <c r="M6" s="29">
        <v>15</v>
      </c>
      <c r="N6" s="29"/>
      <c r="O6" s="31"/>
      <c r="P6" s="31"/>
      <c r="Q6" s="29">
        <v>5</v>
      </c>
      <c r="R6" s="31"/>
      <c r="S6" s="30">
        <f aca="true" t="shared" si="1" ref="S6:S17">G6+L6+M6+Q6</f>
        <v>581</v>
      </c>
    </row>
    <row r="7" spans="1:19" ht="38.25">
      <c r="A7" s="26">
        <v>3</v>
      </c>
      <c r="B7" s="200" t="s">
        <v>1041</v>
      </c>
      <c r="C7" s="26">
        <v>100</v>
      </c>
      <c r="D7" s="26">
        <v>320</v>
      </c>
      <c r="E7" s="26">
        <v>51</v>
      </c>
      <c r="F7" s="26"/>
      <c r="G7" s="28">
        <f t="shared" si="0"/>
        <v>471</v>
      </c>
      <c r="H7" s="26"/>
      <c r="I7" s="26"/>
      <c r="J7" s="26"/>
      <c r="K7" s="31"/>
      <c r="L7" s="31">
        <v>5</v>
      </c>
      <c r="M7" s="29">
        <v>10</v>
      </c>
      <c r="N7" s="29">
        <v>5</v>
      </c>
      <c r="O7" s="31"/>
      <c r="P7" s="31"/>
      <c r="Q7" s="29">
        <v>5</v>
      </c>
      <c r="R7" s="31"/>
      <c r="S7" s="30">
        <f t="shared" si="1"/>
        <v>491</v>
      </c>
    </row>
    <row r="8" spans="1:19" ht="51">
      <c r="A8" s="26">
        <v>4</v>
      </c>
      <c r="B8" s="196" t="s">
        <v>1042</v>
      </c>
      <c r="C8" s="26">
        <v>70</v>
      </c>
      <c r="D8" s="26">
        <v>312</v>
      </c>
      <c r="E8" s="26">
        <v>87</v>
      </c>
      <c r="F8" s="26"/>
      <c r="G8" s="28">
        <f t="shared" si="0"/>
        <v>469</v>
      </c>
      <c r="H8" s="26"/>
      <c r="I8" s="26"/>
      <c r="J8" s="26"/>
      <c r="K8" s="31"/>
      <c r="L8" s="31">
        <v>5</v>
      </c>
      <c r="M8" s="29">
        <v>15</v>
      </c>
      <c r="N8" s="29"/>
      <c r="O8" s="31"/>
      <c r="P8" s="31"/>
      <c r="Q8" s="29">
        <v>5</v>
      </c>
      <c r="R8" s="31"/>
      <c r="S8" s="30">
        <f t="shared" si="1"/>
        <v>494</v>
      </c>
    </row>
    <row r="9" spans="1:19" ht="51">
      <c r="A9" s="26">
        <v>5</v>
      </c>
      <c r="B9" s="196" t="s">
        <v>1043</v>
      </c>
      <c r="C9" s="26">
        <v>175</v>
      </c>
      <c r="D9" s="26">
        <v>252</v>
      </c>
      <c r="E9" s="26">
        <v>69</v>
      </c>
      <c r="F9" s="26"/>
      <c r="G9" s="28">
        <f t="shared" si="0"/>
        <v>496</v>
      </c>
      <c r="H9" s="26"/>
      <c r="I9" s="26"/>
      <c r="J9" s="26"/>
      <c r="K9" s="31"/>
      <c r="L9" s="31">
        <v>5</v>
      </c>
      <c r="M9" s="29">
        <v>10</v>
      </c>
      <c r="N9" s="29"/>
      <c r="O9" s="31"/>
      <c r="P9" s="31"/>
      <c r="Q9" s="29">
        <v>5</v>
      </c>
      <c r="R9" s="31"/>
      <c r="S9" s="30">
        <f t="shared" si="1"/>
        <v>516</v>
      </c>
    </row>
    <row r="10" spans="1:19" ht="51">
      <c r="A10" s="26">
        <v>6</v>
      </c>
      <c r="B10" s="196" t="s">
        <v>1044</v>
      </c>
      <c r="C10" s="26">
        <v>230</v>
      </c>
      <c r="D10" s="26">
        <v>228</v>
      </c>
      <c r="E10" s="26">
        <v>51</v>
      </c>
      <c r="F10" s="26"/>
      <c r="G10" s="28">
        <f t="shared" si="0"/>
        <v>509</v>
      </c>
      <c r="H10" s="26"/>
      <c r="I10" s="26"/>
      <c r="J10" s="26"/>
      <c r="K10" s="31"/>
      <c r="L10" s="31">
        <v>5</v>
      </c>
      <c r="M10" s="29">
        <v>15</v>
      </c>
      <c r="N10" s="29">
        <v>5</v>
      </c>
      <c r="O10" s="31"/>
      <c r="P10" s="31"/>
      <c r="Q10" s="29">
        <v>5</v>
      </c>
      <c r="R10" s="31"/>
      <c r="S10" s="30">
        <f t="shared" si="1"/>
        <v>534</v>
      </c>
    </row>
    <row r="11" spans="1:19" ht="38.25">
      <c r="A11" s="26">
        <v>7</v>
      </c>
      <c r="B11" s="259" t="s">
        <v>1045</v>
      </c>
      <c r="C11" s="26">
        <v>115</v>
      </c>
      <c r="D11" s="26">
        <v>352</v>
      </c>
      <c r="E11" s="26">
        <v>60</v>
      </c>
      <c r="F11" s="26"/>
      <c r="G11" s="28">
        <f t="shared" si="0"/>
        <v>527</v>
      </c>
      <c r="H11" s="26"/>
      <c r="I11" s="26"/>
      <c r="J11" s="26"/>
      <c r="K11" s="31"/>
      <c r="L11" s="31">
        <v>5</v>
      </c>
      <c r="M11" s="29">
        <v>10</v>
      </c>
      <c r="N11" s="29">
        <v>5</v>
      </c>
      <c r="O11" s="31"/>
      <c r="P11" s="31"/>
      <c r="Q11" s="29">
        <v>5</v>
      </c>
      <c r="R11" s="31"/>
      <c r="S11" s="30">
        <f t="shared" si="1"/>
        <v>547</v>
      </c>
    </row>
    <row r="12" spans="1:19" ht="63.75">
      <c r="A12" s="26">
        <v>8</v>
      </c>
      <c r="B12" s="196" t="s">
        <v>1046</v>
      </c>
      <c r="C12" s="26">
        <v>90</v>
      </c>
      <c r="D12" s="26">
        <v>146</v>
      </c>
      <c r="E12" s="26">
        <v>189</v>
      </c>
      <c r="F12" s="26"/>
      <c r="G12" s="28">
        <f t="shared" si="0"/>
        <v>425</v>
      </c>
      <c r="H12" s="26">
        <v>-60</v>
      </c>
      <c r="I12" s="26"/>
      <c r="J12" s="26"/>
      <c r="K12" s="31"/>
      <c r="L12" s="31"/>
      <c r="M12" s="29">
        <v>10</v>
      </c>
      <c r="N12" s="29"/>
      <c r="O12" s="31"/>
      <c r="P12" s="31"/>
      <c r="Q12" s="29">
        <v>5</v>
      </c>
      <c r="R12" s="31"/>
      <c r="S12" s="30">
        <f>G12+L12+M12+Q12-60</f>
        <v>380</v>
      </c>
    </row>
    <row r="13" spans="1:19" ht="51">
      <c r="A13" s="32">
        <v>9</v>
      </c>
      <c r="B13" s="196" t="s">
        <v>1047</v>
      </c>
      <c r="C13" s="26">
        <v>95</v>
      </c>
      <c r="D13" s="26">
        <v>252</v>
      </c>
      <c r="E13" s="26">
        <v>120</v>
      </c>
      <c r="F13" s="51"/>
      <c r="G13" s="28">
        <f t="shared" si="0"/>
        <v>467</v>
      </c>
      <c r="H13" s="51">
        <v>-60</v>
      </c>
      <c r="I13" s="51"/>
      <c r="J13" s="51"/>
      <c r="K13" s="246"/>
      <c r="L13" s="246"/>
      <c r="M13" s="51">
        <v>10</v>
      </c>
      <c r="N13" s="51"/>
      <c r="O13" s="246"/>
      <c r="P13" s="246"/>
      <c r="Q13" s="51">
        <v>5</v>
      </c>
      <c r="R13" s="246"/>
      <c r="S13" s="30">
        <f>G13+L13+M13+Q13-60</f>
        <v>422</v>
      </c>
    </row>
    <row r="14" spans="1:19" ht="51">
      <c r="A14" s="32">
        <v>10</v>
      </c>
      <c r="B14" s="196" t="s">
        <v>1048</v>
      </c>
      <c r="C14" s="26">
        <v>142</v>
      </c>
      <c r="D14" s="26">
        <v>256</v>
      </c>
      <c r="E14" s="26">
        <v>99</v>
      </c>
      <c r="F14" s="51"/>
      <c r="G14" s="28">
        <f t="shared" si="0"/>
        <v>497</v>
      </c>
      <c r="H14" s="51"/>
      <c r="I14" s="51"/>
      <c r="J14" s="51"/>
      <c r="K14" s="246"/>
      <c r="L14" s="246">
        <v>5</v>
      </c>
      <c r="M14" s="51">
        <v>15</v>
      </c>
      <c r="N14" s="51"/>
      <c r="O14" s="246"/>
      <c r="P14" s="246"/>
      <c r="Q14" s="51">
        <v>5</v>
      </c>
      <c r="R14" s="246"/>
      <c r="S14" s="30">
        <f t="shared" si="1"/>
        <v>522</v>
      </c>
    </row>
    <row r="15" spans="1:19" ht="51">
      <c r="A15" s="26">
        <v>11</v>
      </c>
      <c r="B15" s="196" t="s">
        <v>1049</v>
      </c>
      <c r="C15" s="26">
        <v>120</v>
      </c>
      <c r="D15" s="26">
        <v>232</v>
      </c>
      <c r="E15" s="26">
        <v>72</v>
      </c>
      <c r="F15" s="51"/>
      <c r="G15" s="28">
        <f t="shared" si="0"/>
        <v>424</v>
      </c>
      <c r="H15" s="51"/>
      <c r="I15" s="51"/>
      <c r="J15" s="51"/>
      <c r="K15" s="246"/>
      <c r="L15" s="246">
        <v>5</v>
      </c>
      <c r="M15" s="51">
        <v>10</v>
      </c>
      <c r="N15" s="51">
        <v>5</v>
      </c>
      <c r="O15" s="246"/>
      <c r="P15" s="246"/>
      <c r="Q15" s="51">
        <v>5</v>
      </c>
      <c r="R15" s="246"/>
      <c r="S15" s="30">
        <f t="shared" si="1"/>
        <v>444</v>
      </c>
    </row>
    <row r="16" spans="1:19" ht="51">
      <c r="A16" s="32">
        <v>12</v>
      </c>
      <c r="B16" s="196" t="s">
        <v>1050</v>
      </c>
      <c r="C16" s="26">
        <v>115</v>
      </c>
      <c r="D16" s="26">
        <v>252</v>
      </c>
      <c r="E16" s="26">
        <v>72</v>
      </c>
      <c r="F16" s="51"/>
      <c r="G16" s="28">
        <f t="shared" si="0"/>
        <v>439</v>
      </c>
      <c r="H16" s="51"/>
      <c r="I16" s="51"/>
      <c r="J16" s="51"/>
      <c r="K16" s="246"/>
      <c r="L16" s="246">
        <v>5</v>
      </c>
      <c r="M16" s="51">
        <v>10</v>
      </c>
      <c r="N16" s="51"/>
      <c r="O16" s="246"/>
      <c r="P16" s="246"/>
      <c r="Q16" s="51">
        <v>5</v>
      </c>
      <c r="R16" s="246"/>
      <c r="S16" s="30">
        <f t="shared" si="1"/>
        <v>459</v>
      </c>
    </row>
    <row r="17" spans="1:19" ht="63.75">
      <c r="A17" s="26">
        <v>13</v>
      </c>
      <c r="B17" s="196" t="s">
        <v>1051</v>
      </c>
      <c r="C17" s="26">
        <v>105</v>
      </c>
      <c r="D17" s="26">
        <v>236</v>
      </c>
      <c r="E17" s="26">
        <v>120</v>
      </c>
      <c r="F17" s="26"/>
      <c r="G17" s="28">
        <f t="shared" si="0"/>
        <v>461</v>
      </c>
      <c r="H17" s="26"/>
      <c r="I17" s="26"/>
      <c r="J17" s="26"/>
      <c r="K17" s="31"/>
      <c r="L17" s="31">
        <v>5</v>
      </c>
      <c r="M17" s="29">
        <v>15</v>
      </c>
      <c r="N17" s="29"/>
      <c r="O17" s="31"/>
      <c r="P17" s="31"/>
      <c r="Q17" s="29">
        <v>5</v>
      </c>
      <c r="R17" s="31"/>
      <c r="S17" s="30">
        <f t="shared" si="1"/>
        <v>486</v>
      </c>
    </row>
    <row r="18" spans="1:19" ht="51">
      <c r="A18" s="26">
        <v>14</v>
      </c>
      <c r="B18" s="196" t="s">
        <v>1052</v>
      </c>
      <c r="C18" s="26">
        <v>110</v>
      </c>
      <c r="D18" s="26">
        <v>228</v>
      </c>
      <c r="E18" s="26">
        <v>135</v>
      </c>
      <c r="F18" s="26"/>
      <c r="G18" s="28">
        <f t="shared" si="0"/>
        <v>473</v>
      </c>
      <c r="H18" s="26">
        <v>-60</v>
      </c>
      <c r="I18" s="26"/>
      <c r="J18" s="26"/>
      <c r="K18" s="31"/>
      <c r="L18" s="31">
        <v>5</v>
      </c>
      <c r="M18" s="29">
        <v>15</v>
      </c>
      <c r="N18" s="29"/>
      <c r="O18" s="31"/>
      <c r="P18" s="31"/>
      <c r="Q18" s="29">
        <v>5</v>
      </c>
      <c r="R18" s="31"/>
      <c r="S18" s="30">
        <f>G18+L18+M18+Q18-60</f>
        <v>438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S25"/>
    </sheetView>
  </sheetViews>
  <sheetFormatPr defaultColWidth="9.140625" defaultRowHeight="15"/>
  <sheetData>
    <row r="1" spans="1:19" ht="15">
      <c r="A1" s="321" t="s">
        <v>1053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SUM(S5:S25)</f>
        <v>18000</v>
      </c>
    </row>
    <row r="3" spans="1:19" ht="1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319" t="s">
        <v>18</v>
      </c>
      <c r="R3" s="306" t="s">
        <v>6</v>
      </c>
      <c r="S3" s="310" t="s">
        <v>3</v>
      </c>
    </row>
    <row r="4" spans="1:19" ht="15">
      <c r="A4" s="305"/>
      <c r="B4" s="333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357"/>
      <c r="R4" s="307"/>
      <c r="S4" s="310"/>
    </row>
    <row r="5" spans="1:19" ht="25.5">
      <c r="A5" s="260">
        <v>1</v>
      </c>
      <c r="B5" s="259" t="s">
        <v>1054</v>
      </c>
      <c r="C5" s="26">
        <v>585</v>
      </c>
      <c r="D5" s="26">
        <v>272</v>
      </c>
      <c r="E5" s="26">
        <v>52</v>
      </c>
      <c r="F5" s="26">
        <v>0</v>
      </c>
      <c r="G5" s="28">
        <f>C5+D5+E5-F5</f>
        <v>909</v>
      </c>
      <c r="H5" s="26">
        <v>0</v>
      </c>
      <c r="I5" s="26">
        <v>0</v>
      </c>
      <c r="J5" s="26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30">
        <f>G5+SUM(H5:Q5)</f>
        <v>909</v>
      </c>
    </row>
    <row r="6" spans="1:19" ht="25.5">
      <c r="A6" s="26">
        <v>2</v>
      </c>
      <c r="B6" s="261" t="s">
        <v>1055</v>
      </c>
      <c r="C6" s="26">
        <v>180</v>
      </c>
      <c r="D6" s="26">
        <v>408</v>
      </c>
      <c r="E6" s="26">
        <v>198</v>
      </c>
      <c r="F6" s="26">
        <v>4</v>
      </c>
      <c r="G6" s="28">
        <f>C6+D6+E6-F6</f>
        <v>782</v>
      </c>
      <c r="H6" s="26">
        <v>-40</v>
      </c>
      <c r="I6" s="26">
        <v>0</v>
      </c>
      <c r="J6" s="26">
        <v>0</v>
      </c>
      <c r="K6" s="29">
        <v>0</v>
      </c>
      <c r="L6" s="29">
        <v>0</v>
      </c>
      <c r="M6" s="29">
        <v>15</v>
      </c>
      <c r="N6" s="29">
        <v>5</v>
      </c>
      <c r="O6" s="29">
        <v>0</v>
      </c>
      <c r="P6" s="29">
        <v>0</v>
      </c>
      <c r="Q6" s="29">
        <v>0</v>
      </c>
      <c r="R6" s="31">
        <v>2</v>
      </c>
      <c r="S6" s="30">
        <f aca="true" t="shared" si="0" ref="S6:S25">G6+SUM(H6:Q6)</f>
        <v>762</v>
      </c>
    </row>
    <row r="7" spans="1:19" ht="25.5">
      <c r="A7" s="260">
        <v>3</v>
      </c>
      <c r="B7" s="262" t="s">
        <v>1056</v>
      </c>
      <c r="C7" s="26">
        <v>720</v>
      </c>
      <c r="D7" s="26">
        <v>248</v>
      </c>
      <c r="E7" s="26">
        <v>9</v>
      </c>
      <c r="F7" s="26">
        <v>2</v>
      </c>
      <c r="G7" s="28">
        <f aca="true" t="shared" si="1" ref="G7:G25">C7+D7+E7-F7</f>
        <v>975</v>
      </c>
      <c r="H7" s="26">
        <v>-10</v>
      </c>
      <c r="I7" s="26">
        <v>0</v>
      </c>
      <c r="J7" s="26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1">
        <v>0</v>
      </c>
      <c r="S7" s="30">
        <f t="shared" si="0"/>
        <v>965</v>
      </c>
    </row>
    <row r="8" spans="1:19" ht="25.5">
      <c r="A8" s="260">
        <v>4</v>
      </c>
      <c r="B8" s="263" t="s">
        <v>1057</v>
      </c>
      <c r="C8" s="26">
        <v>720</v>
      </c>
      <c r="D8" s="26">
        <v>248</v>
      </c>
      <c r="E8" s="26">
        <v>9</v>
      </c>
      <c r="F8" s="26">
        <v>2</v>
      </c>
      <c r="G8" s="28">
        <f t="shared" si="1"/>
        <v>975</v>
      </c>
      <c r="H8" s="26">
        <v>0</v>
      </c>
      <c r="I8" s="26">
        <v>0</v>
      </c>
      <c r="J8" s="26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1">
        <v>0</v>
      </c>
      <c r="S8" s="30">
        <f t="shared" si="0"/>
        <v>975</v>
      </c>
    </row>
    <row r="9" spans="1:19" ht="25.5">
      <c r="A9" s="260">
        <v>5</v>
      </c>
      <c r="B9" s="263" t="s">
        <v>1058</v>
      </c>
      <c r="C9" s="264">
        <v>245</v>
      </c>
      <c r="D9" s="26">
        <v>412</v>
      </c>
      <c r="E9" s="26">
        <v>183</v>
      </c>
      <c r="F9" s="26">
        <v>0</v>
      </c>
      <c r="G9" s="28">
        <f t="shared" si="1"/>
        <v>840</v>
      </c>
      <c r="H9" s="26">
        <v>0</v>
      </c>
      <c r="I9" s="26">
        <v>0</v>
      </c>
      <c r="J9" s="26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31">
        <v>0</v>
      </c>
      <c r="S9" s="30">
        <f t="shared" si="0"/>
        <v>840</v>
      </c>
    </row>
    <row r="10" spans="1:19" ht="25.5">
      <c r="A10" s="260">
        <v>6</v>
      </c>
      <c r="B10" s="259" t="s">
        <v>1059</v>
      </c>
      <c r="C10" s="264">
        <v>800</v>
      </c>
      <c r="D10" s="26">
        <v>116</v>
      </c>
      <c r="E10" s="26">
        <v>3</v>
      </c>
      <c r="F10" s="26">
        <v>0</v>
      </c>
      <c r="G10" s="28">
        <f t="shared" si="1"/>
        <v>919</v>
      </c>
      <c r="H10" s="26">
        <v>0</v>
      </c>
      <c r="I10" s="26">
        <v>0</v>
      </c>
      <c r="J10" s="26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1">
        <v>0</v>
      </c>
      <c r="S10" s="30">
        <f t="shared" si="0"/>
        <v>919</v>
      </c>
    </row>
    <row r="11" spans="1:19" ht="25.5">
      <c r="A11" s="260">
        <v>7</v>
      </c>
      <c r="B11" s="259" t="s">
        <v>1060</v>
      </c>
      <c r="C11" s="26">
        <v>225</v>
      </c>
      <c r="D11" s="26">
        <v>500</v>
      </c>
      <c r="E11" s="26">
        <v>99</v>
      </c>
      <c r="F11" s="26">
        <v>0</v>
      </c>
      <c r="G11" s="28">
        <f t="shared" si="1"/>
        <v>824</v>
      </c>
      <c r="H11" s="26">
        <v>-40</v>
      </c>
      <c r="I11" s="26">
        <v>0</v>
      </c>
      <c r="J11" s="26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31">
        <v>0</v>
      </c>
      <c r="S11" s="30">
        <f t="shared" si="0"/>
        <v>784</v>
      </c>
    </row>
    <row r="12" spans="1:19" ht="25.5">
      <c r="A12" s="260">
        <v>8</v>
      </c>
      <c r="B12" s="259" t="s">
        <v>1061</v>
      </c>
      <c r="C12" s="264">
        <v>940</v>
      </c>
      <c r="D12" s="26">
        <v>108</v>
      </c>
      <c r="E12" s="26">
        <v>0</v>
      </c>
      <c r="F12" s="26">
        <v>0</v>
      </c>
      <c r="G12" s="28">
        <f t="shared" si="1"/>
        <v>1048</v>
      </c>
      <c r="H12" s="26">
        <v>0</v>
      </c>
      <c r="I12" s="26">
        <v>0</v>
      </c>
      <c r="J12" s="26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1">
        <v>0</v>
      </c>
      <c r="S12" s="30">
        <f t="shared" si="0"/>
        <v>1048</v>
      </c>
    </row>
    <row r="13" spans="1:19" ht="15">
      <c r="A13" s="265">
        <v>9</v>
      </c>
      <c r="B13" s="266" t="s">
        <v>1062</v>
      </c>
      <c r="C13" s="26">
        <v>275</v>
      </c>
      <c r="D13" s="26">
        <v>448</v>
      </c>
      <c r="E13" s="26">
        <v>117</v>
      </c>
      <c r="F13" s="32">
        <v>4</v>
      </c>
      <c r="G13" s="28">
        <f t="shared" si="1"/>
        <v>836</v>
      </c>
      <c r="H13" s="32">
        <v>-10</v>
      </c>
      <c r="I13" s="26">
        <v>0</v>
      </c>
      <c r="J13" s="32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31">
        <v>0</v>
      </c>
      <c r="S13" s="30">
        <f t="shared" si="0"/>
        <v>826</v>
      </c>
    </row>
    <row r="14" spans="1:19" ht="38.25">
      <c r="A14" s="26">
        <v>10</v>
      </c>
      <c r="B14" s="267" t="s">
        <v>1063</v>
      </c>
      <c r="C14" s="26">
        <v>260</v>
      </c>
      <c r="D14" s="26">
        <v>412</v>
      </c>
      <c r="E14" s="26">
        <v>126</v>
      </c>
      <c r="F14" s="26">
        <v>2</v>
      </c>
      <c r="G14" s="28">
        <f t="shared" si="1"/>
        <v>796</v>
      </c>
      <c r="H14" s="26">
        <v>-20</v>
      </c>
      <c r="I14" s="26">
        <v>0</v>
      </c>
      <c r="J14" s="32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1">
        <v>0</v>
      </c>
      <c r="S14" s="30">
        <f t="shared" si="0"/>
        <v>776</v>
      </c>
    </row>
    <row r="15" spans="1:19" ht="25.5">
      <c r="A15" s="32">
        <v>11</v>
      </c>
      <c r="B15" s="268" t="s">
        <v>1064</v>
      </c>
      <c r="C15" s="26">
        <v>195</v>
      </c>
      <c r="D15" s="26">
        <v>196</v>
      </c>
      <c r="E15" s="26">
        <v>315</v>
      </c>
      <c r="F15" s="32">
        <v>0</v>
      </c>
      <c r="G15" s="28">
        <f t="shared" si="1"/>
        <v>706</v>
      </c>
      <c r="H15" s="32">
        <v>0</v>
      </c>
      <c r="I15" s="26">
        <v>0</v>
      </c>
      <c r="J15" s="32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1">
        <v>0</v>
      </c>
      <c r="S15" s="30">
        <f t="shared" si="0"/>
        <v>706</v>
      </c>
    </row>
    <row r="16" spans="1:19" ht="25.5">
      <c r="A16" s="260">
        <v>12</v>
      </c>
      <c r="B16" s="259" t="s">
        <v>1065</v>
      </c>
      <c r="C16" s="264">
        <v>410</v>
      </c>
      <c r="D16" s="26">
        <v>420</v>
      </c>
      <c r="E16" s="26">
        <v>24</v>
      </c>
      <c r="F16" s="26">
        <v>0</v>
      </c>
      <c r="G16" s="28">
        <f t="shared" si="1"/>
        <v>854</v>
      </c>
      <c r="H16" s="32">
        <v>0</v>
      </c>
      <c r="I16" s="26">
        <v>0</v>
      </c>
      <c r="J16" s="32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1">
        <v>0</v>
      </c>
      <c r="S16" s="30">
        <f t="shared" si="0"/>
        <v>854</v>
      </c>
    </row>
    <row r="17" spans="1:19" ht="25.5">
      <c r="A17" s="260">
        <v>13</v>
      </c>
      <c r="B17" s="259" t="s">
        <v>1066</v>
      </c>
      <c r="C17" s="264">
        <v>485</v>
      </c>
      <c r="D17" s="26">
        <v>368</v>
      </c>
      <c r="E17" s="26">
        <v>60</v>
      </c>
      <c r="F17" s="26">
        <v>0</v>
      </c>
      <c r="G17" s="28">
        <f t="shared" si="1"/>
        <v>913</v>
      </c>
      <c r="H17" s="32">
        <v>0</v>
      </c>
      <c r="I17" s="26">
        <v>0</v>
      </c>
      <c r="J17" s="32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1">
        <v>0</v>
      </c>
      <c r="S17" s="30">
        <f t="shared" si="0"/>
        <v>913</v>
      </c>
    </row>
    <row r="18" spans="1:19" ht="25.5">
      <c r="A18" s="260">
        <v>14</v>
      </c>
      <c r="B18" s="263" t="s">
        <v>1067</v>
      </c>
      <c r="C18" s="264">
        <v>770</v>
      </c>
      <c r="D18" s="26">
        <v>236</v>
      </c>
      <c r="E18" s="26">
        <v>0</v>
      </c>
      <c r="F18" s="26">
        <v>0</v>
      </c>
      <c r="G18" s="28">
        <f t="shared" si="1"/>
        <v>1006</v>
      </c>
      <c r="H18" s="32">
        <v>0</v>
      </c>
      <c r="I18" s="26">
        <v>0</v>
      </c>
      <c r="J18" s="32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1">
        <v>0</v>
      </c>
      <c r="S18" s="30">
        <f t="shared" si="0"/>
        <v>1006</v>
      </c>
    </row>
    <row r="19" spans="1:19" ht="25.5">
      <c r="A19" s="26">
        <v>15</v>
      </c>
      <c r="B19" s="269" t="s">
        <v>1068</v>
      </c>
      <c r="C19" s="26">
        <v>270</v>
      </c>
      <c r="D19" s="26">
        <v>372</v>
      </c>
      <c r="E19" s="26">
        <v>174</v>
      </c>
      <c r="F19" s="26">
        <v>2</v>
      </c>
      <c r="G19" s="28">
        <f t="shared" si="1"/>
        <v>814</v>
      </c>
      <c r="H19" s="32">
        <v>0</v>
      </c>
      <c r="I19" s="26">
        <v>0</v>
      </c>
      <c r="J19" s="32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31">
        <v>0</v>
      </c>
      <c r="S19" s="30">
        <f t="shared" si="0"/>
        <v>814</v>
      </c>
    </row>
    <row r="20" spans="1:19" ht="25.5">
      <c r="A20" s="26">
        <v>16</v>
      </c>
      <c r="B20" s="259" t="s">
        <v>1069</v>
      </c>
      <c r="C20" s="264">
        <v>770</v>
      </c>
      <c r="D20" s="26">
        <v>152</v>
      </c>
      <c r="E20" s="26">
        <v>0</v>
      </c>
      <c r="F20" s="26">
        <v>0</v>
      </c>
      <c r="G20" s="28">
        <f t="shared" si="1"/>
        <v>922</v>
      </c>
      <c r="H20" s="32">
        <v>0</v>
      </c>
      <c r="I20" s="26">
        <v>0</v>
      </c>
      <c r="J20" s="32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1">
        <v>0</v>
      </c>
      <c r="S20" s="30">
        <f t="shared" si="0"/>
        <v>922</v>
      </c>
    </row>
    <row r="21" spans="1:19" ht="25.5">
      <c r="A21" s="260">
        <v>17</v>
      </c>
      <c r="B21" s="259" t="s">
        <v>1070</v>
      </c>
      <c r="C21" s="26">
        <v>320</v>
      </c>
      <c r="D21" s="26">
        <v>400</v>
      </c>
      <c r="E21" s="26">
        <v>108</v>
      </c>
      <c r="F21" s="26">
        <v>2</v>
      </c>
      <c r="G21" s="28">
        <f t="shared" si="1"/>
        <v>826</v>
      </c>
      <c r="H21" s="32">
        <v>0</v>
      </c>
      <c r="I21" s="26">
        <v>0</v>
      </c>
      <c r="J21" s="26">
        <v>-20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1">
        <v>0</v>
      </c>
      <c r="S21" s="30">
        <f t="shared" si="0"/>
        <v>806</v>
      </c>
    </row>
    <row r="22" spans="1:19" ht="25.5">
      <c r="A22" s="260">
        <v>18</v>
      </c>
      <c r="B22" s="259" t="s">
        <v>1071</v>
      </c>
      <c r="C22" s="264">
        <v>240</v>
      </c>
      <c r="D22" s="26">
        <v>360</v>
      </c>
      <c r="E22" s="26">
        <v>207</v>
      </c>
      <c r="F22" s="26">
        <v>2</v>
      </c>
      <c r="G22" s="28">
        <f t="shared" si="1"/>
        <v>805</v>
      </c>
      <c r="H22" s="32">
        <v>0</v>
      </c>
      <c r="I22" s="26">
        <v>0</v>
      </c>
      <c r="J22" s="26">
        <v>-20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1">
        <v>0</v>
      </c>
      <c r="S22" s="30">
        <f t="shared" si="0"/>
        <v>785</v>
      </c>
    </row>
    <row r="23" spans="1:19" ht="25.5">
      <c r="A23" s="260">
        <v>19</v>
      </c>
      <c r="B23" s="259" t="s">
        <v>1072</v>
      </c>
      <c r="C23" s="264">
        <v>160</v>
      </c>
      <c r="D23" s="26">
        <v>228</v>
      </c>
      <c r="E23" s="26">
        <v>309</v>
      </c>
      <c r="F23" s="26">
        <v>4</v>
      </c>
      <c r="G23" s="28">
        <f t="shared" si="1"/>
        <v>693</v>
      </c>
      <c r="H23" s="26">
        <v>-10</v>
      </c>
      <c r="I23" s="26">
        <v>0</v>
      </c>
      <c r="J23" s="26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1">
        <v>0</v>
      </c>
      <c r="S23" s="30">
        <f t="shared" si="0"/>
        <v>683</v>
      </c>
    </row>
    <row r="24" spans="1:19" ht="25.5">
      <c r="A24" s="260">
        <v>20</v>
      </c>
      <c r="B24" s="262" t="s">
        <v>1073</v>
      </c>
      <c r="C24" s="8">
        <v>155</v>
      </c>
      <c r="D24" s="8">
        <v>244</v>
      </c>
      <c r="E24" s="26">
        <v>276</v>
      </c>
      <c r="F24" s="26">
        <v>0</v>
      </c>
      <c r="G24" s="28">
        <f t="shared" si="1"/>
        <v>675</v>
      </c>
      <c r="H24" s="26">
        <v>0</v>
      </c>
      <c r="I24" s="26">
        <v>0</v>
      </c>
      <c r="J24" s="26">
        <v>-20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1">
        <v>0</v>
      </c>
      <c r="S24" s="30">
        <f t="shared" si="0"/>
        <v>655</v>
      </c>
    </row>
    <row r="25" spans="1:19" ht="25.5">
      <c r="A25" s="260">
        <v>21</v>
      </c>
      <c r="B25" s="259" t="s">
        <v>1074</v>
      </c>
      <c r="C25" s="8">
        <v>940</v>
      </c>
      <c r="D25" s="8">
        <v>112</v>
      </c>
      <c r="E25" s="26">
        <v>0</v>
      </c>
      <c r="F25" s="26">
        <v>0</v>
      </c>
      <c r="G25" s="28">
        <f t="shared" si="1"/>
        <v>1052</v>
      </c>
      <c r="H25" s="26">
        <v>0</v>
      </c>
      <c r="I25" s="26">
        <v>0</v>
      </c>
      <c r="J25" s="26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31">
        <v>0</v>
      </c>
      <c r="S25" s="30">
        <f t="shared" si="0"/>
        <v>1052</v>
      </c>
    </row>
  </sheetData>
  <sheetProtection/>
  <mergeCells count="20"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S23"/>
    </sheetView>
  </sheetViews>
  <sheetFormatPr defaultColWidth="9.140625" defaultRowHeight="15"/>
  <sheetData>
    <row r="1" spans="1:19" ht="15">
      <c r="A1" s="321" t="s">
        <v>1075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SUM(S5:S26)</f>
        <v>6517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51">
      <c r="A5" s="26">
        <v>1</v>
      </c>
      <c r="B5" s="196" t="s">
        <v>1076</v>
      </c>
      <c r="C5" s="8">
        <v>280</v>
      </c>
      <c r="D5" s="8">
        <v>108</v>
      </c>
      <c r="E5" s="26"/>
      <c r="F5" s="26"/>
      <c r="G5" s="28">
        <f>C5+D5+E5-F5</f>
        <v>388</v>
      </c>
      <c r="H5" s="26"/>
      <c r="I5" s="26"/>
      <c r="J5" s="26"/>
      <c r="K5" s="29">
        <v>20</v>
      </c>
      <c r="L5" s="29"/>
      <c r="M5" s="29"/>
      <c r="N5" s="29"/>
      <c r="O5" s="29"/>
      <c r="P5" s="29"/>
      <c r="Q5" s="29"/>
      <c r="R5" s="29"/>
      <c r="S5" s="30">
        <f>G5+SUM(H5:Q5)</f>
        <v>408</v>
      </c>
    </row>
    <row r="6" spans="1:19" ht="63.75">
      <c r="A6" s="26">
        <v>2</v>
      </c>
      <c r="B6" s="196" t="s">
        <v>1077</v>
      </c>
      <c r="C6" s="8">
        <v>20</v>
      </c>
      <c r="D6" s="8">
        <v>236</v>
      </c>
      <c r="E6" s="8">
        <v>30</v>
      </c>
      <c r="F6" s="26"/>
      <c r="G6" s="28">
        <f>C6+D6+E6-F6</f>
        <v>286</v>
      </c>
      <c r="H6" s="26"/>
      <c r="I6" s="26"/>
      <c r="J6" s="26"/>
      <c r="K6" s="31"/>
      <c r="L6" s="31"/>
      <c r="M6" s="29"/>
      <c r="N6" s="29"/>
      <c r="O6" s="31"/>
      <c r="P6" s="31"/>
      <c r="Q6" s="29"/>
      <c r="R6" s="31"/>
      <c r="S6" s="30">
        <f aca="true" t="shared" si="0" ref="S6:S23">G6+SUM(H6:Q6)</f>
        <v>286</v>
      </c>
    </row>
    <row r="7" spans="1:19" ht="63.75">
      <c r="A7" s="26">
        <v>3</v>
      </c>
      <c r="B7" s="196" t="s">
        <v>1078</v>
      </c>
      <c r="C7" s="26"/>
      <c r="D7" s="8">
        <v>232</v>
      </c>
      <c r="E7" s="8">
        <v>54</v>
      </c>
      <c r="F7" s="26"/>
      <c r="G7" s="28">
        <f aca="true" t="shared" si="1" ref="G7:G23">C7+D7+E7-F7</f>
        <v>286</v>
      </c>
      <c r="H7" s="26"/>
      <c r="I7" s="26"/>
      <c r="J7" s="26"/>
      <c r="K7" s="31"/>
      <c r="L7" s="31"/>
      <c r="M7" s="29"/>
      <c r="N7" s="29"/>
      <c r="O7" s="31"/>
      <c r="P7" s="31"/>
      <c r="Q7" s="29"/>
      <c r="R7" s="31"/>
      <c r="S7" s="30">
        <f t="shared" si="0"/>
        <v>286</v>
      </c>
    </row>
    <row r="8" spans="1:19" ht="51">
      <c r="A8" s="26">
        <v>4</v>
      </c>
      <c r="B8" s="196" t="s">
        <v>1079</v>
      </c>
      <c r="C8" s="26"/>
      <c r="D8" s="8">
        <v>252</v>
      </c>
      <c r="E8" s="8">
        <v>60</v>
      </c>
      <c r="F8" s="26"/>
      <c r="G8" s="28">
        <f t="shared" si="1"/>
        <v>312</v>
      </c>
      <c r="H8" s="26"/>
      <c r="I8" s="26"/>
      <c r="J8" s="26"/>
      <c r="K8" s="31"/>
      <c r="L8" s="31"/>
      <c r="M8" s="29"/>
      <c r="N8" s="29"/>
      <c r="O8" s="31"/>
      <c r="P8" s="31"/>
      <c r="Q8" s="29"/>
      <c r="R8" s="31"/>
      <c r="S8" s="30">
        <f t="shared" si="0"/>
        <v>312</v>
      </c>
    </row>
    <row r="9" spans="1:19" ht="51">
      <c r="A9" s="26">
        <v>5</v>
      </c>
      <c r="B9" s="196" t="s">
        <v>1080</v>
      </c>
      <c r="C9" s="8">
        <v>170</v>
      </c>
      <c r="D9" s="8">
        <v>176</v>
      </c>
      <c r="E9" s="26"/>
      <c r="F9" s="26"/>
      <c r="G9" s="28">
        <f t="shared" si="1"/>
        <v>346</v>
      </c>
      <c r="H9" s="26"/>
      <c r="I9" s="26"/>
      <c r="J9" s="26"/>
      <c r="K9" s="31">
        <v>20</v>
      </c>
      <c r="L9" s="31"/>
      <c r="M9" s="29"/>
      <c r="N9" s="29"/>
      <c r="O9" s="31"/>
      <c r="P9" s="31"/>
      <c r="Q9" s="29"/>
      <c r="R9" s="31"/>
      <c r="S9" s="30">
        <f t="shared" si="0"/>
        <v>366</v>
      </c>
    </row>
    <row r="10" spans="1:19" ht="38.25">
      <c r="A10" s="26">
        <v>6</v>
      </c>
      <c r="B10" s="196" t="s">
        <v>1081</v>
      </c>
      <c r="C10" s="8">
        <v>255</v>
      </c>
      <c r="D10" s="8">
        <v>104</v>
      </c>
      <c r="E10" s="8">
        <v>12</v>
      </c>
      <c r="F10" s="26"/>
      <c r="G10" s="28">
        <f t="shared" si="1"/>
        <v>371</v>
      </c>
      <c r="H10" s="26"/>
      <c r="I10" s="26"/>
      <c r="J10" s="26"/>
      <c r="K10" s="31">
        <v>40</v>
      </c>
      <c r="L10" s="31"/>
      <c r="M10" s="29"/>
      <c r="N10" s="29"/>
      <c r="O10" s="31"/>
      <c r="P10" s="31"/>
      <c r="Q10" s="29"/>
      <c r="R10" s="31"/>
      <c r="S10" s="30">
        <f t="shared" si="0"/>
        <v>411</v>
      </c>
    </row>
    <row r="11" spans="1:19" ht="63.75">
      <c r="A11" s="26">
        <v>7</v>
      </c>
      <c r="B11" s="196" t="s">
        <v>1082</v>
      </c>
      <c r="C11" s="8">
        <v>60</v>
      </c>
      <c r="D11" s="8">
        <v>240</v>
      </c>
      <c r="E11" s="8">
        <v>57</v>
      </c>
      <c r="F11" s="51"/>
      <c r="G11" s="28">
        <f t="shared" si="1"/>
        <v>357</v>
      </c>
      <c r="H11" s="26"/>
      <c r="I11" s="26"/>
      <c r="J11" s="26"/>
      <c r="K11" s="31"/>
      <c r="L11" s="31"/>
      <c r="M11" s="29"/>
      <c r="N11" s="29"/>
      <c r="O11" s="31"/>
      <c r="P11" s="31"/>
      <c r="Q11" s="29"/>
      <c r="R11" s="31"/>
      <c r="S11" s="30">
        <f t="shared" si="0"/>
        <v>357</v>
      </c>
    </row>
    <row r="12" spans="1:19" ht="51">
      <c r="A12" s="26">
        <v>8</v>
      </c>
      <c r="B12" s="196" t="s">
        <v>1083</v>
      </c>
      <c r="C12" s="8">
        <v>180</v>
      </c>
      <c r="D12" s="8">
        <v>184</v>
      </c>
      <c r="E12" s="26"/>
      <c r="F12" s="51"/>
      <c r="G12" s="28">
        <f t="shared" si="1"/>
        <v>364</v>
      </c>
      <c r="H12" s="26"/>
      <c r="I12" s="26"/>
      <c r="J12" s="26"/>
      <c r="K12" s="31">
        <v>20</v>
      </c>
      <c r="L12" s="31"/>
      <c r="M12" s="29"/>
      <c r="N12" s="29"/>
      <c r="O12" s="31"/>
      <c r="P12" s="31"/>
      <c r="Q12" s="29"/>
      <c r="R12" s="31"/>
      <c r="S12" s="30">
        <f t="shared" si="0"/>
        <v>384</v>
      </c>
    </row>
    <row r="13" spans="1:19" ht="51">
      <c r="A13" s="270">
        <v>9</v>
      </c>
      <c r="B13" s="196" t="s">
        <v>1084</v>
      </c>
      <c r="C13" s="26"/>
      <c r="D13" s="8">
        <v>268</v>
      </c>
      <c r="E13" s="8">
        <v>63</v>
      </c>
      <c r="F13" s="271"/>
      <c r="G13" s="28">
        <f t="shared" si="1"/>
        <v>331</v>
      </c>
      <c r="H13" s="51"/>
      <c r="I13" s="51"/>
      <c r="J13" s="51"/>
      <c r="K13" s="246"/>
      <c r="L13" s="246"/>
      <c r="M13" s="51"/>
      <c r="N13" s="51"/>
      <c r="O13" s="246"/>
      <c r="P13" s="246"/>
      <c r="Q13" s="51"/>
      <c r="R13" s="246"/>
      <c r="S13" s="30">
        <f t="shared" si="0"/>
        <v>331</v>
      </c>
    </row>
    <row r="14" spans="1:19" ht="63.75">
      <c r="A14" s="270">
        <v>10</v>
      </c>
      <c r="B14" s="196" t="s">
        <v>1085</v>
      </c>
      <c r="C14" s="8">
        <v>5</v>
      </c>
      <c r="D14" s="8">
        <v>224</v>
      </c>
      <c r="E14" s="8">
        <v>78</v>
      </c>
      <c r="F14" s="271"/>
      <c r="G14" s="28">
        <f t="shared" si="1"/>
        <v>307</v>
      </c>
      <c r="H14" s="272">
        <v>2</v>
      </c>
      <c r="I14" s="51"/>
      <c r="J14" s="51"/>
      <c r="K14" s="246"/>
      <c r="L14" s="246"/>
      <c r="M14" s="51"/>
      <c r="N14" s="51"/>
      <c r="O14" s="246"/>
      <c r="P14" s="246"/>
      <c r="Q14" s="51"/>
      <c r="R14" s="246"/>
      <c r="S14" s="30">
        <f t="shared" si="0"/>
        <v>309</v>
      </c>
    </row>
    <row r="15" spans="1:19" ht="51">
      <c r="A15" s="273">
        <v>11</v>
      </c>
      <c r="B15" s="196" t="s">
        <v>1086</v>
      </c>
      <c r="C15" s="8">
        <v>55</v>
      </c>
      <c r="D15" s="8">
        <v>224</v>
      </c>
      <c r="E15" s="8">
        <v>60</v>
      </c>
      <c r="F15" s="271"/>
      <c r="G15" s="28">
        <f t="shared" si="1"/>
        <v>339</v>
      </c>
      <c r="H15" s="26"/>
      <c r="I15" s="51"/>
      <c r="J15" s="51"/>
      <c r="K15" s="246"/>
      <c r="L15" s="246"/>
      <c r="M15" s="51"/>
      <c r="N15" s="51"/>
      <c r="O15" s="246"/>
      <c r="P15" s="246"/>
      <c r="Q15" s="51"/>
      <c r="R15" s="246"/>
      <c r="S15" s="30">
        <f>G15+SUM(H15:Q15)</f>
        <v>339</v>
      </c>
    </row>
    <row r="16" spans="1:19" ht="51">
      <c r="A16" s="270">
        <v>12</v>
      </c>
      <c r="B16" s="196" t="s">
        <v>1087</v>
      </c>
      <c r="C16" s="8">
        <v>70</v>
      </c>
      <c r="D16" s="8">
        <v>228</v>
      </c>
      <c r="E16" s="8">
        <v>42</v>
      </c>
      <c r="F16" s="271"/>
      <c r="G16" s="28">
        <f t="shared" si="1"/>
        <v>340</v>
      </c>
      <c r="H16" s="8">
        <v>10</v>
      </c>
      <c r="I16" s="51"/>
      <c r="J16" s="51"/>
      <c r="K16" s="246"/>
      <c r="L16" s="246"/>
      <c r="M16" s="51"/>
      <c r="N16" s="51"/>
      <c r="O16" s="246"/>
      <c r="P16" s="246"/>
      <c r="Q16" s="51"/>
      <c r="R16" s="246"/>
      <c r="S16" s="30">
        <f>G16+SUM(H16:Q16)</f>
        <v>350</v>
      </c>
    </row>
    <row r="17" spans="1:19" ht="51">
      <c r="A17" s="26">
        <v>13</v>
      </c>
      <c r="B17" s="196" t="s">
        <v>1088</v>
      </c>
      <c r="C17" s="8">
        <v>45</v>
      </c>
      <c r="D17" s="8">
        <v>252</v>
      </c>
      <c r="E17" s="8">
        <v>48</v>
      </c>
      <c r="F17" s="51"/>
      <c r="G17" s="28">
        <f t="shared" si="1"/>
        <v>345</v>
      </c>
      <c r="H17" s="26"/>
      <c r="I17" s="26"/>
      <c r="J17" s="26"/>
      <c r="K17" s="31"/>
      <c r="L17" s="31"/>
      <c r="M17" s="29"/>
      <c r="N17" s="29"/>
      <c r="O17" s="31"/>
      <c r="P17" s="31"/>
      <c r="Q17" s="29"/>
      <c r="R17" s="31"/>
      <c r="S17" s="30">
        <f t="shared" si="0"/>
        <v>345</v>
      </c>
    </row>
    <row r="18" spans="1:19" ht="51">
      <c r="A18" s="26">
        <v>14</v>
      </c>
      <c r="B18" s="196" t="s">
        <v>1089</v>
      </c>
      <c r="C18" s="8">
        <v>35</v>
      </c>
      <c r="D18" s="8">
        <v>236</v>
      </c>
      <c r="E18" s="8">
        <v>63</v>
      </c>
      <c r="F18" s="26"/>
      <c r="G18" s="28">
        <f t="shared" si="1"/>
        <v>334</v>
      </c>
      <c r="H18" s="26"/>
      <c r="I18" s="26"/>
      <c r="J18" s="26"/>
      <c r="K18" s="31"/>
      <c r="L18" s="31"/>
      <c r="M18" s="29"/>
      <c r="N18" s="29"/>
      <c r="O18" s="31"/>
      <c r="P18" s="31"/>
      <c r="Q18" s="29"/>
      <c r="R18" s="31"/>
      <c r="S18" s="30">
        <f t="shared" si="0"/>
        <v>334</v>
      </c>
    </row>
    <row r="19" spans="1:19" ht="63.75">
      <c r="A19" s="26">
        <v>15</v>
      </c>
      <c r="B19" s="196" t="s">
        <v>1090</v>
      </c>
      <c r="C19" s="7">
        <v>30</v>
      </c>
      <c r="D19" s="7">
        <v>200</v>
      </c>
      <c r="E19" s="7">
        <v>84</v>
      </c>
      <c r="F19" s="26"/>
      <c r="G19" s="28">
        <f t="shared" si="1"/>
        <v>314</v>
      </c>
      <c r="H19" s="7">
        <v>10</v>
      </c>
      <c r="I19" s="26"/>
      <c r="J19" s="26"/>
      <c r="K19" s="31"/>
      <c r="L19" s="31"/>
      <c r="M19" s="29"/>
      <c r="N19" s="29"/>
      <c r="O19" s="31"/>
      <c r="P19" s="31"/>
      <c r="Q19" s="29"/>
      <c r="R19" s="31"/>
      <c r="S19" s="30">
        <f t="shared" si="0"/>
        <v>324</v>
      </c>
    </row>
    <row r="20" spans="1:19" ht="51">
      <c r="A20" s="26">
        <v>16</v>
      </c>
      <c r="B20" s="196" t="s">
        <v>1091</v>
      </c>
      <c r="C20" s="7">
        <v>210</v>
      </c>
      <c r="D20" s="7">
        <v>120</v>
      </c>
      <c r="E20" s="7">
        <v>36</v>
      </c>
      <c r="F20" s="26"/>
      <c r="G20" s="28">
        <f t="shared" si="1"/>
        <v>366</v>
      </c>
      <c r="H20" s="26"/>
      <c r="I20" s="26"/>
      <c r="J20" s="26"/>
      <c r="K20" s="31"/>
      <c r="L20" s="31"/>
      <c r="M20" s="29"/>
      <c r="N20" s="29"/>
      <c r="O20" s="31"/>
      <c r="P20" s="31"/>
      <c r="Q20" s="29"/>
      <c r="R20" s="31"/>
      <c r="S20" s="30">
        <f t="shared" si="0"/>
        <v>366</v>
      </c>
    </row>
    <row r="21" spans="1:19" ht="51">
      <c r="A21" s="26">
        <v>17</v>
      </c>
      <c r="B21" s="274" t="s">
        <v>1092</v>
      </c>
      <c r="C21" s="7">
        <v>200</v>
      </c>
      <c r="D21" s="7">
        <v>120</v>
      </c>
      <c r="E21" s="7">
        <v>24</v>
      </c>
      <c r="F21" s="26"/>
      <c r="G21" s="28">
        <f t="shared" si="1"/>
        <v>344</v>
      </c>
      <c r="H21" s="26"/>
      <c r="I21" s="26"/>
      <c r="J21" s="26"/>
      <c r="K21" s="31">
        <v>20</v>
      </c>
      <c r="L21" s="31"/>
      <c r="M21" s="29"/>
      <c r="N21" s="29"/>
      <c r="O21" s="31"/>
      <c r="P21" s="31"/>
      <c r="Q21" s="29"/>
      <c r="R21" s="31"/>
      <c r="S21" s="30">
        <f t="shared" si="0"/>
        <v>364</v>
      </c>
    </row>
    <row r="22" spans="1:19" ht="15">
      <c r="A22" s="26">
        <v>18</v>
      </c>
      <c r="B22" s="275" t="s">
        <v>1093</v>
      </c>
      <c r="C22" s="7">
        <v>35</v>
      </c>
      <c r="D22" s="7">
        <v>228</v>
      </c>
      <c r="E22" s="7">
        <v>27</v>
      </c>
      <c r="F22" s="26"/>
      <c r="G22" s="28">
        <f t="shared" si="1"/>
        <v>290</v>
      </c>
      <c r="H22" s="26"/>
      <c r="I22" s="26"/>
      <c r="J22" s="26"/>
      <c r="K22" s="31"/>
      <c r="L22" s="31"/>
      <c r="M22" s="29"/>
      <c r="N22" s="29"/>
      <c r="O22" s="31"/>
      <c r="P22" s="31"/>
      <c r="Q22" s="29"/>
      <c r="R22" s="31"/>
      <c r="S22" s="30">
        <f t="shared" si="0"/>
        <v>290</v>
      </c>
    </row>
    <row r="23" spans="1:19" ht="15">
      <c r="A23" s="26">
        <v>19</v>
      </c>
      <c r="B23" s="275" t="s">
        <v>1094</v>
      </c>
      <c r="C23" s="7">
        <v>65</v>
      </c>
      <c r="D23" s="7">
        <v>228</v>
      </c>
      <c r="E23" s="7">
        <v>42</v>
      </c>
      <c r="F23" s="26"/>
      <c r="G23" s="28">
        <f t="shared" si="1"/>
        <v>335</v>
      </c>
      <c r="H23" s="26"/>
      <c r="I23" s="26"/>
      <c r="J23" s="26"/>
      <c r="K23" s="31">
        <v>20</v>
      </c>
      <c r="L23" s="31"/>
      <c r="M23" s="29"/>
      <c r="N23" s="29"/>
      <c r="O23" s="31"/>
      <c r="P23" s="31"/>
      <c r="Q23" s="29"/>
      <c r="R23" s="31"/>
      <c r="S23" s="30">
        <f t="shared" si="0"/>
        <v>355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1:31" ht="15">
      <c r="K1" s="293" t="s">
        <v>1095</v>
      </c>
      <c r="L1" s="294"/>
      <c r="Z1" s="276" t="s">
        <v>1096</v>
      </c>
      <c r="AA1" s="276"/>
      <c r="AB1" s="276"/>
      <c r="AC1" s="276"/>
      <c r="AD1" s="276"/>
      <c r="AE1" s="276">
        <f>SUM(AE3:AE26)</f>
        <v>18045</v>
      </c>
    </row>
    <row r="2" spans="1:31" ht="185.25">
      <c r="A2" s="74"/>
      <c r="B2" s="277" t="s">
        <v>2</v>
      </c>
      <c r="C2" s="278" t="s">
        <v>7</v>
      </c>
      <c r="D2" s="279"/>
      <c r="E2" s="278" t="s">
        <v>1097</v>
      </c>
      <c r="F2" s="279"/>
      <c r="G2" s="278" t="s">
        <v>1098</v>
      </c>
      <c r="H2" s="279"/>
      <c r="I2" s="278" t="s">
        <v>1099</v>
      </c>
      <c r="J2" s="280" t="s">
        <v>1100</v>
      </c>
      <c r="K2" s="278" t="s">
        <v>1101</v>
      </c>
      <c r="L2" s="278" t="s">
        <v>4</v>
      </c>
      <c r="M2" s="278" t="s">
        <v>12</v>
      </c>
      <c r="N2" s="278" t="s">
        <v>13</v>
      </c>
      <c r="O2" s="278" t="s">
        <v>1102</v>
      </c>
      <c r="P2" s="278" t="s">
        <v>1103</v>
      </c>
      <c r="Q2" s="278" t="s">
        <v>1104</v>
      </c>
      <c r="R2" s="278" t="s">
        <v>1105</v>
      </c>
      <c r="S2" s="278" t="s">
        <v>14</v>
      </c>
      <c r="T2" s="278" t="s">
        <v>1106</v>
      </c>
      <c r="U2" s="278" t="s">
        <v>15</v>
      </c>
      <c r="V2" s="278" t="s">
        <v>1107</v>
      </c>
      <c r="W2" s="278" t="s">
        <v>1108</v>
      </c>
      <c r="X2" s="278" t="s">
        <v>16</v>
      </c>
      <c r="Y2" s="278" t="s">
        <v>17</v>
      </c>
      <c r="Z2" s="278" t="s">
        <v>5</v>
      </c>
      <c r="AA2" s="278" t="s">
        <v>18</v>
      </c>
      <c r="AB2" s="278" t="s">
        <v>279</v>
      </c>
      <c r="AC2" s="279"/>
      <c r="AD2" s="278" t="s">
        <v>1109</v>
      </c>
      <c r="AE2" s="281" t="s">
        <v>1110</v>
      </c>
    </row>
    <row r="3" spans="1:31" ht="15.75" thickBot="1">
      <c r="A3" s="282">
        <v>1</v>
      </c>
      <c r="B3" s="282" t="str">
        <f>'[1]Лист1'!B5</f>
        <v>Абдыкеров Ануар Бауржанулы</v>
      </c>
      <c r="C3" s="283">
        <v>73</v>
      </c>
      <c r="D3" s="284">
        <v>5</v>
      </c>
      <c r="E3" s="284">
        <v>85</v>
      </c>
      <c r="F3" s="284">
        <v>4</v>
      </c>
      <c r="G3" s="284">
        <v>13</v>
      </c>
      <c r="H3" s="284">
        <v>3</v>
      </c>
      <c r="I3" s="284"/>
      <c r="J3" s="285">
        <f>(C3*D3)+(E3*F3)+(G3+H3)</f>
        <v>721</v>
      </c>
      <c r="K3" s="284"/>
      <c r="L3" s="284"/>
      <c r="M3" s="284"/>
      <c r="N3" s="284">
        <f>O3+P3+Q3+R3</f>
        <v>20</v>
      </c>
      <c r="O3" s="284"/>
      <c r="P3" s="284"/>
      <c r="Q3" s="284">
        <v>20</v>
      </c>
      <c r="R3" s="284"/>
      <c r="S3" s="284">
        <f>T3</f>
        <v>5</v>
      </c>
      <c r="T3" s="284">
        <v>5</v>
      </c>
      <c r="U3" s="284">
        <f>V3+W3</f>
        <v>10</v>
      </c>
      <c r="V3" s="284">
        <v>5</v>
      </c>
      <c r="W3" s="284">
        <v>5</v>
      </c>
      <c r="X3" s="284"/>
      <c r="Y3" s="284"/>
      <c r="Z3" s="284"/>
      <c r="AA3" s="284">
        <v>5</v>
      </c>
      <c r="AB3" s="286">
        <v>2</v>
      </c>
      <c r="AC3">
        <f aca="true" t="shared" si="0" ref="AC3:AC26">(C3*D3)+(E3*F3)+(G3*H3)+O3+P3+Q3+T3+V3+W3+AA3+AB3</f>
        <v>786</v>
      </c>
      <c r="AE3" s="287">
        <f aca="true" t="shared" si="1" ref="AE3:AE26">AC3-K3-AD3</f>
        <v>786</v>
      </c>
    </row>
    <row r="4" spans="1:31" ht="15.75" thickBot="1">
      <c r="A4" s="74">
        <v>2</v>
      </c>
      <c r="B4" s="74" t="str">
        <f>'[1]Лист1'!B6</f>
        <v>Аженева Гаухар Мамашевна</v>
      </c>
      <c r="C4" s="288">
        <v>66</v>
      </c>
      <c r="D4" s="289">
        <v>5</v>
      </c>
      <c r="E4" s="289">
        <v>92</v>
      </c>
      <c r="F4" s="289">
        <v>4</v>
      </c>
      <c r="G4" s="289">
        <v>14</v>
      </c>
      <c r="H4" s="289">
        <v>3</v>
      </c>
      <c r="I4" s="289"/>
      <c r="J4" s="290">
        <f aca="true" t="shared" si="2" ref="J4:J26">(C4*D4)+(E4*F4)+(G4+H4)</f>
        <v>715</v>
      </c>
      <c r="K4" s="289"/>
      <c r="L4" s="289"/>
      <c r="M4" s="289"/>
      <c r="N4" s="289">
        <f>O4+P4+Q4+R4</f>
        <v>0</v>
      </c>
      <c r="O4" s="289"/>
      <c r="P4" s="289"/>
      <c r="Q4" s="289"/>
      <c r="R4" s="289"/>
      <c r="S4" s="289">
        <f aca="true" t="shared" si="3" ref="S4:S26">T4</f>
        <v>5</v>
      </c>
      <c r="T4" s="289">
        <v>5</v>
      </c>
      <c r="U4" s="289">
        <f aca="true" t="shared" si="4" ref="U4:U26">V4+W4</f>
        <v>10</v>
      </c>
      <c r="V4" s="289">
        <v>5</v>
      </c>
      <c r="W4" s="289">
        <v>5</v>
      </c>
      <c r="X4" s="289"/>
      <c r="Y4" s="289"/>
      <c r="Z4" s="289"/>
      <c r="AA4" s="289">
        <v>5</v>
      </c>
      <c r="AB4" s="291">
        <v>2</v>
      </c>
      <c r="AC4">
        <f t="shared" si="0"/>
        <v>762</v>
      </c>
      <c r="AE4" s="292">
        <f t="shared" si="1"/>
        <v>762</v>
      </c>
    </row>
    <row r="5" spans="1:31" ht="15.75" thickBot="1">
      <c r="A5" s="74">
        <v>3</v>
      </c>
      <c r="B5" s="74" t="str">
        <f>'[1]Лист1'!B7</f>
        <v>Андруцкая Анастасия Николаевна</v>
      </c>
      <c r="C5" s="288">
        <v>50</v>
      </c>
      <c r="D5" s="289">
        <v>5</v>
      </c>
      <c r="E5" s="289">
        <v>101</v>
      </c>
      <c r="F5" s="289">
        <v>4</v>
      </c>
      <c r="G5" s="289">
        <v>16</v>
      </c>
      <c r="H5" s="289">
        <v>3</v>
      </c>
      <c r="I5" s="289"/>
      <c r="J5" s="290">
        <f t="shared" si="2"/>
        <v>673</v>
      </c>
      <c r="K5" s="289"/>
      <c r="L5" s="289"/>
      <c r="M5" s="289"/>
      <c r="N5" s="289">
        <f>O5+P5+Q5+R5</f>
        <v>40</v>
      </c>
      <c r="O5" s="289">
        <v>20</v>
      </c>
      <c r="P5" s="289">
        <v>20</v>
      </c>
      <c r="Q5" s="289"/>
      <c r="R5" s="289"/>
      <c r="S5" s="289">
        <f t="shared" si="3"/>
        <v>5</v>
      </c>
      <c r="T5" s="289">
        <v>5</v>
      </c>
      <c r="U5" s="289">
        <f t="shared" si="4"/>
        <v>10</v>
      </c>
      <c r="V5" s="289">
        <v>5</v>
      </c>
      <c r="W5" s="289">
        <v>5</v>
      </c>
      <c r="X5" s="289"/>
      <c r="Y5" s="289"/>
      <c r="Z5" s="289"/>
      <c r="AA5" s="289">
        <v>5</v>
      </c>
      <c r="AB5" s="291">
        <v>2</v>
      </c>
      <c r="AC5">
        <f t="shared" si="0"/>
        <v>764</v>
      </c>
      <c r="AE5" s="292">
        <f t="shared" si="1"/>
        <v>764</v>
      </c>
    </row>
    <row r="6" spans="1:31" ht="15.75" thickBot="1">
      <c r="A6" s="74">
        <v>4</v>
      </c>
      <c r="B6" s="74" t="str">
        <f>'[1]Лист1'!B8</f>
        <v>Аронова Виктория Сергеевна</v>
      </c>
      <c r="C6" s="288">
        <v>106</v>
      </c>
      <c r="D6" s="289">
        <v>5</v>
      </c>
      <c r="E6" s="289">
        <v>50</v>
      </c>
      <c r="F6" s="289">
        <v>4</v>
      </c>
      <c r="G6" s="289">
        <v>12</v>
      </c>
      <c r="H6" s="289">
        <v>3</v>
      </c>
      <c r="I6" s="289"/>
      <c r="J6" s="290">
        <f t="shared" si="2"/>
        <v>745</v>
      </c>
      <c r="K6" s="289"/>
      <c r="L6" s="289"/>
      <c r="M6" s="289"/>
      <c r="N6" s="289">
        <f aca="true" t="shared" si="5" ref="N6:N26">O6+P6+Q6+R6</f>
        <v>20</v>
      </c>
      <c r="O6" s="289"/>
      <c r="P6" s="289">
        <v>20</v>
      </c>
      <c r="Q6" s="289"/>
      <c r="R6" s="289"/>
      <c r="S6" s="289">
        <f t="shared" si="3"/>
        <v>5</v>
      </c>
      <c r="T6" s="289">
        <v>5</v>
      </c>
      <c r="U6" s="289">
        <f t="shared" si="4"/>
        <v>10</v>
      </c>
      <c r="V6" s="289">
        <v>5</v>
      </c>
      <c r="W6" s="289">
        <v>5</v>
      </c>
      <c r="X6" s="289"/>
      <c r="Y6" s="289"/>
      <c r="Z6" s="289"/>
      <c r="AA6" s="289">
        <v>5</v>
      </c>
      <c r="AB6" s="291">
        <v>2</v>
      </c>
      <c r="AC6">
        <f t="shared" si="0"/>
        <v>808</v>
      </c>
      <c r="AE6" s="292">
        <f t="shared" si="1"/>
        <v>808</v>
      </c>
    </row>
    <row r="7" spans="1:31" ht="15.75" thickBot="1">
      <c r="A7" s="74">
        <v>5</v>
      </c>
      <c r="B7" s="74" t="str">
        <f>'[1]Лист1'!B9</f>
        <v>Афанасьева Екатерина Владимировна</v>
      </c>
      <c r="C7" s="288">
        <v>35</v>
      </c>
      <c r="D7" s="289">
        <v>5</v>
      </c>
      <c r="E7" s="289">
        <v>104</v>
      </c>
      <c r="F7" s="289">
        <v>4</v>
      </c>
      <c r="G7" s="289">
        <v>25</v>
      </c>
      <c r="H7" s="289">
        <v>3</v>
      </c>
      <c r="I7" s="289"/>
      <c r="J7" s="290">
        <f t="shared" si="2"/>
        <v>619</v>
      </c>
      <c r="K7" s="289"/>
      <c r="L7" s="289"/>
      <c r="M7" s="289"/>
      <c r="N7" s="289">
        <f t="shared" si="5"/>
        <v>20</v>
      </c>
      <c r="O7" s="289"/>
      <c r="P7" s="289">
        <v>20</v>
      </c>
      <c r="Q7" s="289"/>
      <c r="R7" s="289"/>
      <c r="S7" s="289">
        <f t="shared" si="3"/>
        <v>5</v>
      </c>
      <c r="T7" s="289">
        <v>5</v>
      </c>
      <c r="U7" s="289">
        <f t="shared" si="4"/>
        <v>10</v>
      </c>
      <c r="V7" s="289">
        <v>5</v>
      </c>
      <c r="W7" s="289">
        <v>5</v>
      </c>
      <c r="X7" s="289"/>
      <c r="Y7" s="289"/>
      <c r="Z7" s="289"/>
      <c r="AA7" s="289">
        <v>5</v>
      </c>
      <c r="AB7" s="291">
        <v>2</v>
      </c>
      <c r="AC7">
        <f t="shared" si="0"/>
        <v>708</v>
      </c>
      <c r="AE7" s="292">
        <f t="shared" si="1"/>
        <v>708</v>
      </c>
    </row>
    <row r="8" spans="1:31" ht="15.75" thickBot="1">
      <c r="A8" s="74">
        <v>6</v>
      </c>
      <c r="B8" s="74" t="str">
        <f>'[1]Лист1'!B10</f>
        <v>Борисович Екаткрина Борисовна</v>
      </c>
      <c r="C8" s="288">
        <v>75</v>
      </c>
      <c r="D8" s="289">
        <v>5</v>
      </c>
      <c r="E8" s="289">
        <v>78</v>
      </c>
      <c r="F8" s="289">
        <v>4</v>
      </c>
      <c r="G8" s="289">
        <v>8</v>
      </c>
      <c r="H8" s="289">
        <v>3</v>
      </c>
      <c r="I8" s="289"/>
      <c r="J8" s="290">
        <f t="shared" si="2"/>
        <v>698</v>
      </c>
      <c r="K8" s="289"/>
      <c r="L8" s="289"/>
      <c r="M8" s="289"/>
      <c r="N8" s="289">
        <f t="shared" si="5"/>
        <v>0</v>
      </c>
      <c r="O8" s="289"/>
      <c r="P8" s="289"/>
      <c r="Q8" s="289"/>
      <c r="R8" s="289"/>
      <c r="S8" s="289">
        <f t="shared" si="3"/>
        <v>5</v>
      </c>
      <c r="T8" s="289">
        <v>5</v>
      </c>
      <c r="U8" s="289">
        <f t="shared" si="4"/>
        <v>10</v>
      </c>
      <c r="V8" s="289">
        <v>5</v>
      </c>
      <c r="W8" s="289">
        <v>5</v>
      </c>
      <c r="X8" s="289"/>
      <c r="Y8" s="289"/>
      <c r="Z8" s="289"/>
      <c r="AA8" s="289">
        <v>5</v>
      </c>
      <c r="AB8" s="291">
        <v>2</v>
      </c>
      <c r="AC8">
        <f t="shared" si="0"/>
        <v>733</v>
      </c>
      <c r="AE8" s="292">
        <f t="shared" si="1"/>
        <v>733</v>
      </c>
    </row>
    <row r="9" spans="1:31" ht="15.75" thickBot="1">
      <c r="A9" s="74">
        <v>7</v>
      </c>
      <c r="B9" s="74" t="str">
        <f>'[1]Лист1'!B11</f>
        <v>Бритоусова Анастасия Владимировна</v>
      </c>
      <c r="C9" s="288">
        <v>40</v>
      </c>
      <c r="D9" s="289">
        <v>5</v>
      </c>
      <c r="E9" s="289">
        <v>86</v>
      </c>
      <c r="F9" s="289">
        <v>4</v>
      </c>
      <c r="G9" s="289">
        <v>38</v>
      </c>
      <c r="H9" s="289">
        <v>3</v>
      </c>
      <c r="I9" s="289"/>
      <c r="J9" s="290">
        <f t="shared" si="2"/>
        <v>585</v>
      </c>
      <c r="K9" s="289"/>
      <c r="L9" s="289"/>
      <c r="M9" s="289"/>
      <c r="N9" s="289">
        <f t="shared" si="5"/>
        <v>20</v>
      </c>
      <c r="O9" s="289"/>
      <c r="P9" s="289">
        <v>20</v>
      </c>
      <c r="Q9" s="289"/>
      <c r="R9" s="289"/>
      <c r="S9" s="289">
        <f t="shared" si="3"/>
        <v>5</v>
      </c>
      <c r="T9" s="289">
        <v>5</v>
      </c>
      <c r="U9" s="289">
        <f t="shared" si="4"/>
        <v>10</v>
      </c>
      <c r="V9" s="289">
        <v>5</v>
      </c>
      <c r="W9" s="289">
        <v>5</v>
      </c>
      <c r="X9" s="289"/>
      <c r="Y9" s="289"/>
      <c r="Z9" s="289"/>
      <c r="AA9" s="289">
        <v>5</v>
      </c>
      <c r="AB9" s="291">
        <v>2</v>
      </c>
      <c r="AC9">
        <f t="shared" si="0"/>
        <v>700</v>
      </c>
      <c r="AE9" s="292">
        <f t="shared" si="1"/>
        <v>700</v>
      </c>
    </row>
    <row r="10" spans="1:31" ht="15.75" thickBot="1">
      <c r="A10" s="74">
        <v>8</v>
      </c>
      <c r="B10" s="74" t="str">
        <f>'[1]Лист1'!B12</f>
        <v>Глазунова Вероника Игоревна</v>
      </c>
      <c r="C10" s="288">
        <v>51</v>
      </c>
      <c r="D10" s="289">
        <v>5</v>
      </c>
      <c r="E10" s="289">
        <v>95</v>
      </c>
      <c r="F10" s="289">
        <v>4</v>
      </c>
      <c r="G10" s="289">
        <v>19</v>
      </c>
      <c r="H10" s="289">
        <v>3</v>
      </c>
      <c r="I10" s="289"/>
      <c r="J10" s="290">
        <f t="shared" si="2"/>
        <v>657</v>
      </c>
      <c r="K10" s="289"/>
      <c r="L10" s="289"/>
      <c r="M10" s="289"/>
      <c r="N10" s="289">
        <f t="shared" si="5"/>
        <v>0</v>
      </c>
      <c r="O10" s="289"/>
      <c r="P10" s="289"/>
      <c r="Q10" s="289"/>
      <c r="R10" s="289"/>
      <c r="S10" s="289">
        <f t="shared" si="3"/>
        <v>5</v>
      </c>
      <c r="T10" s="289">
        <v>5</v>
      </c>
      <c r="U10" s="289">
        <f t="shared" si="4"/>
        <v>10</v>
      </c>
      <c r="V10" s="289">
        <v>5</v>
      </c>
      <c r="W10" s="289">
        <v>5</v>
      </c>
      <c r="X10" s="289"/>
      <c r="Y10" s="289"/>
      <c r="Z10" s="289"/>
      <c r="AA10" s="289">
        <v>5</v>
      </c>
      <c r="AB10" s="291">
        <v>2</v>
      </c>
      <c r="AC10">
        <f t="shared" si="0"/>
        <v>714</v>
      </c>
      <c r="AE10" s="292">
        <f t="shared" si="1"/>
        <v>714</v>
      </c>
    </row>
    <row r="11" spans="1:31" ht="15.75" thickBot="1">
      <c r="A11" s="74">
        <v>9</v>
      </c>
      <c r="B11" s="74" t="str">
        <f>'[1]Лист1'!B13</f>
        <v>Гопаненко Елена Александровна</v>
      </c>
      <c r="C11" s="288">
        <v>37</v>
      </c>
      <c r="D11" s="289">
        <v>5</v>
      </c>
      <c r="E11" s="289">
        <v>78</v>
      </c>
      <c r="F11" s="289">
        <v>4</v>
      </c>
      <c r="G11" s="289">
        <v>45</v>
      </c>
      <c r="H11" s="289">
        <v>3</v>
      </c>
      <c r="I11" s="289"/>
      <c r="J11" s="290">
        <f t="shared" si="2"/>
        <v>545</v>
      </c>
      <c r="K11" s="289"/>
      <c r="L11" s="289"/>
      <c r="M11" s="289"/>
      <c r="N11" s="289">
        <f t="shared" si="5"/>
        <v>0</v>
      </c>
      <c r="O11" s="289"/>
      <c r="P11" s="289"/>
      <c r="Q11" s="289"/>
      <c r="R11" s="289"/>
      <c r="S11" s="289">
        <f t="shared" si="3"/>
        <v>5</v>
      </c>
      <c r="T11" s="289">
        <v>5</v>
      </c>
      <c r="U11" s="289">
        <f t="shared" si="4"/>
        <v>10</v>
      </c>
      <c r="V11" s="289">
        <v>5</v>
      </c>
      <c r="W11" s="289">
        <v>5</v>
      </c>
      <c r="X11" s="289"/>
      <c r="Y11" s="289"/>
      <c r="Z11" s="289"/>
      <c r="AA11" s="289">
        <v>5</v>
      </c>
      <c r="AB11" s="291">
        <v>2</v>
      </c>
      <c r="AC11">
        <f t="shared" si="0"/>
        <v>654</v>
      </c>
      <c r="AE11" s="292">
        <f t="shared" si="1"/>
        <v>654</v>
      </c>
    </row>
    <row r="12" spans="1:31" ht="15.75" thickBot="1">
      <c r="A12" s="74">
        <v>10</v>
      </c>
      <c r="B12" s="74" t="str">
        <f>'[1]Лист1'!B14</f>
        <v>Денисов Данил Борисович</v>
      </c>
      <c r="C12" s="288">
        <v>67</v>
      </c>
      <c r="D12" s="289">
        <v>5</v>
      </c>
      <c r="E12" s="289">
        <v>84</v>
      </c>
      <c r="F12" s="289">
        <v>4</v>
      </c>
      <c r="G12" s="289">
        <v>14</v>
      </c>
      <c r="H12" s="289">
        <v>3</v>
      </c>
      <c r="I12" s="289"/>
      <c r="J12" s="290">
        <f t="shared" si="2"/>
        <v>688</v>
      </c>
      <c r="K12" s="289"/>
      <c r="L12" s="289"/>
      <c r="M12" s="289"/>
      <c r="N12" s="289">
        <f t="shared" si="5"/>
        <v>60</v>
      </c>
      <c r="O12" s="289"/>
      <c r="P12" s="289">
        <v>20</v>
      </c>
      <c r="Q12" s="289">
        <v>20</v>
      </c>
      <c r="R12" s="289">
        <v>20</v>
      </c>
      <c r="S12" s="289">
        <f t="shared" si="3"/>
        <v>5</v>
      </c>
      <c r="T12" s="289">
        <v>5</v>
      </c>
      <c r="U12" s="289">
        <f t="shared" si="4"/>
        <v>10</v>
      </c>
      <c r="V12" s="289">
        <v>5</v>
      </c>
      <c r="W12" s="289">
        <v>5</v>
      </c>
      <c r="X12" s="289"/>
      <c r="Y12" s="289"/>
      <c r="Z12" s="289"/>
      <c r="AA12" s="289">
        <v>5</v>
      </c>
      <c r="AB12" s="291">
        <v>2</v>
      </c>
      <c r="AC12">
        <f t="shared" si="0"/>
        <v>775</v>
      </c>
      <c r="AE12" s="292">
        <f t="shared" si="1"/>
        <v>775</v>
      </c>
    </row>
    <row r="13" spans="1:31" ht="15.75" thickBot="1">
      <c r="A13" s="74">
        <v>11</v>
      </c>
      <c r="B13" s="74" t="str">
        <f>'[1]Лист1'!B15</f>
        <v>Дурнова Маргарита Владимировна</v>
      </c>
      <c r="C13" s="288">
        <v>60</v>
      </c>
      <c r="D13" s="289">
        <v>5</v>
      </c>
      <c r="E13" s="289">
        <v>100</v>
      </c>
      <c r="F13" s="289">
        <v>4</v>
      </c>
      <c r="G13" s="289">
        <v>8</v>
      </c>
      <c r="H13" s="289">
        <v>3</v>
      </c>
      <c r="I13" s="289"/>
      <c r="J13" s="290">
        <f t="shared" si="2"/>
        <v>711</v>
      </c>
      <c r="K13" s="289"/>
      <c r="L13" s="289"/>
      <c r="M13" s="289"/>
      <c r="N13" s="289">
        <f t="shared" si="5"/>
        <v>0</v>
      </c>
      <c r="O13" s="289"/>
      <c r="P13" s="289"/>
      <c r="Q13" s="289"/>
      <c r="R13" s="289"/>
      <c r="S13" s="289">
        <f t="shared" si="3"/>
        <v>5</v>
      </c>
      <c r="T13" s="289">
        <v>5</v>
      </c>
      <c r="U13" s="289">
        <f t="shared" si="4"/>
        <v>10</v>
      </c>
      <c r="V13" s="289">
        <v>5</v>
      </c>
      <c r="W13" s="289">
        <v>5</v>
      </c>
      <c r="X13" s="289"/>
      <c r="Y13" s="289"/>
      <c r="Z13" s="289"/>
      <c r="AA13" s="289">
        <v>5</v>
      </c>
      <c r="AB13" s="291">
        <v>2</v>
      </c>
      <c r="AC13">
        <f t="shared" si="0"/>
        <v>746</v>
      </c>
      <c r="AE13" s="292">
        <f t="shared" si="1"/>
        <v>746</v>
      </c>
    </row>
    <row r="14" spans="1:31" ht="15.75" thickBot="1">
      <c r="A14" s="74">
        <v>12</v>
      </c>
      <c r="B14" s="74" t="str">
        <f>'[1]Лист1'!B16</f>
        <v>Казанцева Мария Викторовна</v>
      </c>
      <c r="C14" s="288">
        <v>39</v>
      </c>
      <c r="D14" s="289">
        <v>5</v>
      </c>
      <c r="E14" s="289">
        <v>96</v>
      </c>
      <c r="F14" s="289">
        <v>4</v>
      </c>
      <c r="G14" s="289">
        <v>30</v>
      </c>
      <c r="H14" s="289">
        <v>3</v>
      </c>
      <c r="I14" s="289"/>
      <c r="J14" s="290">
        <f t="shared" si="2"/>
        <v>612</v>
      </c>
      <c r="K14" s="289"/>
      <c r="L14" s="289"/>
      <c r="M14" s="289"/>
      <c r="N14" s="289">
        <f t="shared" si="5"/>
        <v>40</v>
      </c>
      <c r="O14" s="289">
        <v>20</v>
      </c>
      <c r="P14" s="289"/>
      <c r="Q14" s="289"/>
      <c r="R14" s="289">
        <v>20</v>
      </c>
      <c r="S14" s="289">
        <f t="shared" si="3"/>
        <v>5</v>
      </c>
      <c r="T14" s="289">
        <v>5</v>
      </c>
      <c r="U14" s="289">
        <f t="shared" si="4"/>
        <v>10</v>
      </c>
      <c r="V14" s="289">
        <v>5</v>
      </c>
      <c r="W14" s="289">
        <v>5</v>
      </c>
      <c r="X14" s="289"/>
      <c r="Y14" s="289"/>
      <c r="Z14" s="289"/>
      <c r="AA14" s="289">
        <v>5</v>
      </c>
      <c r="AB14" s="291">
        <v>2</v>
      </c>
      <c r="AC14">
        <f t="shared" si="0"/>
        <v>711</v>
      </c>
      <c r="AE14" s="292">
        <f t="shared" si="1"/>
        <v>711</v>
      </c>
    </row>
    <row r="15" spans="1:31" ht="15.75" thickBot="1">
      <c r="A15" s="74">
        <v>13</v>
      </c>
      <c r="B15" s="74" t="str">
        <f>'[1]Лист1'!B17</f>
        <v>Касымова Замира Нурланкызы</v>
      </c>
      <c r="C15" s="288">
        <v>44</v>
      </c>
      <c r="D15" s="289">
        <v>5</v>
      </c>
      <c r="E15" s="289">
        <v>104</v>
      </c>
      <c r="F15" s="289">
        <v>4</v>
      </c>
      <c r="G15" s="289">
        <v>18</v>
      </c>
      <c r="H15" s="289">
        <v>3</v>
      </c>
      <c r="I15" s="289"/>
      <c r="J15" s="290">
        <f t="shared" si="2"/>
        <v>657</v>
      </c>
      <c r="K15" s="289"/>
      <c r="L15" s="289"/>
      <c r="M15" s="289"/>
      <c r="N15" s="289">
        <f t="shared" si="5"/>
        <v>0</v>
      </c>
      <c r="O15" s="289"/>
      <c r="P15" s="289"/>
      <c r="Q15" s="289"/>
      <c r="R15" s="289"/>
      <c r="S15" s="289">
        <f t="shared" si="3"/>
        <v>5</v>
      </c>
      <c r="T15" s="289">
        <v>5</v>
      </c>
      <c r="U15" s="289">
        <f t="shared" si="4"/>
        <v>10</v>
      </c>
      <c r="V15" s="289">
        <v>5</v>
      </c>
      <c r="W15" s="289">
        <v>5</v>
      </c>
      <c r="X15" s="289"/>
      <c r="Y15" s="289"/>
      <c r="Z15" s="289"/>
      <c r="AA15" s="289">
        <v>5</v>
      </c>
      <c r="AB15" s="291">
        <v>2</v>
      </c>
      <c r="AC15">
        <f t="shared" si="0"/>
        <v>712</v>
      </c>
      <c r="AE15" s="292">
        <f t="shared" si="1"/>
        <v>712</v>
      </c>
    </row>
    <row r="16" spans="1:31" ht="15.75" thickBot="1">
      <c r="A16" s="74">
        <v>14</v>
      </c>
      <c r="B16" s="74" t="str">
        <f>'[1]Лист1'!B18</f>
        <v>Колмогорова Варвара Евгеньевна</v>
      </c>
      <c r="C16" s="288">
        <v>36</v>
      </c>
      <c r="D16" s="289">
        <v>5</v>
      </c>
      <c r="E16" s="289">
        <v>94</v>
      </c>
      <c r="F16" s="289">
        <v>4</v>
      </c>
      <c r="G16" s="289">
        <v>31</v>
      </c>
      <c r="H16" s="289">
        <v>3</v>
      </c>
      <c r="I16" s="289"/>
      <c r="J16" s="290">
        <f t="shared" si="2"/>
        <v>590</v>
      </c>
      <c r="K16" s="289"/>
      <c r="L16" s="289"/>
      <c r="M16" s="289"/>
      <c r="N16" s="289">
        <f t="shared" si="5"/>
        <v>20</v>
      </c>
      <c r="O16" s="289">
        <v>20</v>
      </c>
      <c r="P16" s="289"/>
      <c r="Q16" s="289"/>
      <c r="R16" s="289"/>
      <c r="S16" s="289">
        <f t="shared" si="3"/>
        <v>5</v>
      </c>
      <c r="T16" s="289">
        <v>5</v>
      </c>
      <c r="U16" s="289">
        <f t="shared" si="4"/>
        <v>10</v>
      </c>
      <c r="V16" s="289">
        <v>5</v>
      </c>
      <c r="W16" s="289">
        <v>5</v>
      </c>
      <c r="X16" s="289"/>
      <c r="Y16" s="289"/>
      <c r="Z16" s="289"/>
      <c r="AA16" s="289">
        <v>5</v>
      </c>
      <c r="AB16" s="291">
        <v>2</v>
      </c>
      <c r="AC16">
        <f t="shared" si="0"/>
        <v>691</v>
      </c>
      <c r="AE16" s="292">
        <f t="shared" si="1"/>
        <v>691</v>
      </c>
    </row>
    <row r="17" spans="1:31" ht="15.75" thickBot="1">
      <c r="A17" s="74">
        <v>15</v>
      </c>
      <c r="B17" s="74" t="str">
        <f>'[1]Лист1'!B19</f>
        <v>Кадуркина Вероника Евгеньевна</v>
      </c>
      <c r="C17" s="288">
        <v>99</v>
      </c>
      <c r="D17" s="289">
        <v>5</v>
      </c>
      <c r="E17" s="289">
        <v>56</v>
      </c>
      <c r="F17" s="289">
        <v>4</v>
      </c>
      <c r="G17" s="289">
        <v>6</v>
      </c>
      <c r="H17" s="289">
        <v>3</v>
      </c>
      <c r="I17" s="289"/>
      <c r="J17" s="290">
        <f t="shared" si="2"/>
        <v>728</v>
      </c>
      <c r="K17" s="289"/>
      <c r="L17" s="289"/>
      <c r="M17" s="289"/>
      <c r="N17" s="289">
        <f t="shared" si="5"/>
        <v>50</v>
      </c>
      <c r="O17" s="289">
        <v>20</v>
      </c>
      <c r="P17" s="289">
        <v>20</v>
      </c>
      <c r="Q17" s="289">
        <v>10</v>
      </c>
      <c r="R17" s="289"/>
      <c r="S17" s="289">
        <f t="shared" si="3"/>
        <v>5</v>
      </c>
      <c r="T17" s="289">
        <v>5</v>
      </c>
      <c r="U17" s="289">
        <f t="shared" si="4"/>
        <v>10</v>
      </c>
      <c r="V17" s="289">
        <v>5</v>
      </c>
      <c r="W17" s="289">
        <v>5</v>
      </c>
      <c r="X17" s="289"/>
      <c r="Y17" s="289"/>
      <c r="Z17" s="289"/>
      <c r="AA17" s="289">
        <v>5</v>
      </c>
      <c r="AB17" s="291">
        <v>2</v>
      </c>
      <c r="AC17">
        <f t="shared" si="0"/>
        <v>809</v>
      </c>
      <c r="AE17" s="292">
        <f t="shared" si="1"/>
        <v>809</v>
      </c>
    </row>
    <row r="18" spans="1:31" ht="15.75" thickBot="1">
      <c r="A18" s="74">
        <v>16</v>
      </c>
      <c r="B18" s="74" t="str">
        <f>'[1]Лист1'!B20</f>
        <v>Кошкина Елизавета Викторовна</v>
      </c>
      <c r="C18" s="288">
        <v>105</v>
      </c>
      <c r="D18" s="289">
        <v>5</v>
      </c>
      <c r="E18" s="289">
        <v>43</v>
      </c>
      <c r="F18" s="289">
        <v>4</v>
      </c>
      <c r="G18" s="289">
        <v>1</v>
      </c>
      <c r="H18" s="289">
        <v>3</v>
      </c>
      <c r="I18" s="289"/>
      <c r="J18" s="290">
        <f t="shared" si="2"/>
        <v>701</v>
      </c>
      <c r="K18" s="289"/>
      <c r="L18" s="289"/>
      <c r="M18" s="289"/>
      <c r="N18" s="289">
        <f t="shared" si="5"/>
        <v>40</v>
      </c>
      <c r="O18" s="289">
        <v>20</v>
      </c>
      <c r="P18" s="289">
        <v>20</v>
      </c>
      <c r="Q18" s="289"/>
      <c r="R18" s="289"/>
      <c r="S18" s="289">
        <f t="shared" si="3"/>
        <v>5</v>
      </c>
      <c r="T18" s="289">
        <v>5</v>
      </c>
      <c r="U18" s="289">
        <f t="shared" si="4"/>
        <v>10</v>
      </c>
      <c r="V18" s="289">
        <v>5</v>
      </c>
      <c r="W18" s="289">
        <v>5</v>
      </c>
      <c r="X18" s="289"/>
      <c r="Y18" s="289"/>
      <c r="Z18" s="289"/>
      <c r="AA18" s="289">
        <v>5</v>
      </c>
      <c r="AB18" s="291">
        <v>2</v>
      </c>
      <c r="AC18">
        <f t="shared" si="0"/>
        <v>762</v>
      </c>
      <c r="AE18" s="292">
        <f t="shared" si="1"/>
        <v>762</v>
      </c>
    </row>
    <row r="19" spans="1:31" ht="15.75" thickBot="1">
      <c r="A19" s="74">
        <v>17</v>
      </c>
      <c r="B19" s="74" t="str">
        <f>'[1]Лист1'!B21</f>
        <v>Кузьменко Ярослав Константинович</v>
      </c>
      <c r="C19" s="288">
        <v>124</v>
      </c>
      <c r="D19" s="289">
        <v>5</v>
      </c>
      <c r="E19" s="289">
        <v>37</v>
      </c>
      <c r="F19" s="289">
        <v>4</v>
      </c>
      <c r="G19" s="289">
        <v>5</v>
      </c>
      <c r="H19" s="289">
        <v>3</v>
      </c>
      <c r="I19" s="289"/>
      <c r="J19" s="290">
        <f t="shared" si="2"/>
        <v>776</v>
      </c>
      <c r="K19" s="289"/>
      <c r="L19" s="289"/>
      <c r="M19" s="289"/>
      <c r="N19" s="289">
        <f t="shared" si="5"/>
        <v>20</v>
      </c>
      <c r="O19" s="289">
        <v>20</v>
      </c>
      <c r="P19" s="289"/>
      <c r="Q19" s="289"/>
      <c r="R19" s="289"/>
      <c r="S19" s="289">
        <f t="shared" si="3"/>
        <v>5</v>
      </c>
      <c r="T19" s="289">
        <v>5</v>
      </c>
      <c r="U19" s="289">
        <f t="shared" si="4"/>
        <v>10</v>
      </c>
      <c r="V19" s="289">
        <v>5</v>
      </c>
      <c r="W19" s="289">
        <v>5</v>
      </c>
      <c r="X19" s="289"/>
      <c r="Y19" s="289"/>
      <c r="Z19" s="289"/>
      <c r="AA19" s="289">
        <v>5</v>
      </c>
      <c r="AB19" s="291">
        <v>2</v>
      </c>
      <c r="AC19">
        <f t="shared" si="0"/>
        <v>825</v>
      </c>
      <c r="AE19" s="292">
        <f t="shared" si="1"/>
        <v>825</v>
      </c>
    </row>
    <row r="20" spans="1:31" ht="15.75" thickBot="1">
      <c r="A20" s="74">
        <v>18</v>
      </c>
      <c r="B20" s="74" t="str">
        <f>'[1]Лист1'!B22</f>
        <v>Наурызбаева Арсида Акылбековна</v>
      </c>
      <c r="C20" s="288">
        <v>48</v>
      </c>
      <c r="D20" s="289">
        <v>5</v>
      </c>
      <c r="E20" s="289">
        <v>83</v>
      </c>
      <c r="F20" s="289">
        <v>4</v>
      </c>
      <c r="G20" s="289">
        <v>31</v>
      </c>
      <c r="H20" s="289">
        <v>3</v>
      </c>
      <c r="I20" s="289"/>
      <c r="J20" s="290">
        <f t="shared" si="2"/>
        <v>606</v>
      </c>
      <c r="K20" s="289"/>
      <c r="L20" s="289"/>
      <c r="M20" s="289"/>
      <c r="N20" s="289">
        <f t="shared" si="5"/>
        <v>20</v>
      </c>
      <c r="O20" s="289">
        <v>20</v>
      </c>
      <c r="P20" s="289"/>
      <c r="Q20" s="289"/>
      <c r="R20" s="289"/>
      <c r="S20" s="289">
        <f t="shared" si="3"/>
        <v>5</v>
      </c>
      <c r="T20" s="289">
        <v>5</v>
      </c>
      <c r="U20" s="289">
        <f t="shared" si="4"/>
        <v>10</v>
      </c>
      <c r="V20" s="289">
        <v>5</v>
      </c>
      <c r="W20" s="289">
        <v>5</v>
      </c>
      <c r="X20" s="289"/>
      <c r="Y20" s="289"/>
      <c r="Z20" s="289"/>
      <c r="AA20" s="289">
        <v>5</v>
      </c>
      <c r="AB20" s="291">
        <v>2</v>
      </c>
      <c r="AC20">
        <f t="shared" si="0"/>
        <v>707</v>
      </c>
      <c r="AE20" s="292">
        <f t="shared" si="1"/>
        <v>707</v>
      </c>
    </row>
    <row r="21" spans="1:31" ht="15.75" thickBot="1">
      <c r="A21" s="74">
        <v>19</v>
      </c>
      <c r="B21" s="74" t="str">
        <f>'[1]Лист1'!B23</f>
        <v>Никулина Виктория Андреевна</v>
      </c>
      <c r="C21" s="288">
        <v>66</v>
      </c>
      <c r="D21" s="289">
        <v>5</v>
      </c>
      <c r="E21" s="289">
        <v>76</v>
      </c>
      <c r="F21" s="289">
        <v>4</v>
      </c>
      <c r="G21" s="289">
        <v>18</v>
      </c>
      <c r="H21" s="289">
        <v>3</v>
      </c>
      <c r="I21" s="289"/>
      <c r="J21" s="290">
        <f t="shared" si="2"/>
        <v>655</v>
      </c>
      <c r="K21" s="289"/>
      <c r="L21" s="289"/>
      <c r="M21" s="289"/>
      <c r="N21" s="289">
        <f t="shared" si="5"/>
        <v>20</v>
      </c>
      <c r="O21" s="289"/>
      <c r="P21" s="289">
        <v>20</v>
      </c>
      <c r="Q21" s="289"/>
      <c r="R21" s="289"/>
      <c r="S21" s="289">
        <f t="shared" si="3"/>
        <v>5</v>
      </c>
      <c r="T21" s="289">
        <v>5</v>
      </c>
      <c r="U21" s="289">
        <f t="shared" si="4"/>
        <v>10</v>
      </c>
      <c r="V21" s="289">
        <v>5</v>
      </c>
      <c r="W21" s="289">
        <v>5</v>
      </c>
      <c r="X21" s="289"/>
      <c r="Y21" s="289"/>
      <c r="Z21" s="289"/>
      <c r="AA21" s="289">
        <v>5</v>
      </c>
      <c r="AB21" s="291">
        <v>2</v>
      </c>
      <c r="AC21">
        <f t="shared" si="0"/>
        <v>730</v>
      </c>
      <c r="AE21" s="292">
        <f t="shared" si="1"/>
        <v>730</v>
      </c>
    </row>
    <row r="22" spans="1:31" ht="15.75" thickBot="1">
      <c r="A22" s="74">
        <v>20</v>
      </c>
      <c r="B22" s="74" t="str">
        <f>'[1]Лист1'!B24</f>
        <v>Подколодная Анастасия Валерьевна</v>
      </c>
      <c r="C22" s="288">
        <v>119</v>
      </c>
      <c r="D22" s="289">
        <v>5</v>
      </c>
      <c r="E22" s="289">
        <v>30</v>
      </c>
      <c r="F22" s="289">
        <v>4</v>
      </c>
      <c r="G22" s="289">
        <v>7</v>
      </c>
      <c r="H22" s="289">
        <v>3</v>
      </c>
      <c r="I22" s="289"/>
      <c r="J22" s="290">
        <f t="shared" si="2"/>
        <v>725</v>
      </c>
      <c r="K22" s="289"/>
      <c r="L22" s="289"/>
      <c r="M22" s="289"/>
      <c r="N22" s="289">
        <f t="shared" si="5"/>
        <v>40</v>
      </c>
      <c r="O22" s="289">
        <v>20</v>
      </c>
      <c r="P22" s="289">
        <v>20</v>
      </c>
      <c r="Q22" s="289"/>
      <c r="R22" s="289"/>
      <c r="S22" s="289">
        <f t="shared" si="3"/>
        <v>5</v>
      </c>
      <c r="T22" s="289">
        <v>5</v>
      </c>
      <c r="U22" s="289">
        <f t="shared" si="4"/>
        <v>10</v>
      </c>
      <c r="V22" s="289">
        <v>5</v>
      </c>
      <c r="W22" s="289">
        <v>5</v>
      </c>
      <c r="X22" s="289"/>
      <c r="Y22" s="289"/>
      <c r="Z22" s="289"/>
      <c r="AA22" s="289">
        <v>5</v>
      </c>
      <c r="AB22" s="291">
        <v>2</v>
      </c>
      <c r="AC22">
        <f t="shared" si="0"/>
        <v>798</v>
      </c>
      <c r="AE22" s="292">
        <f t="shared" si="1"/>
        <v>798</v>
      </c>
    </row>
    <row r="23" spans="1:31" ht="15.75" thickBot="1">
      <c r="A23" s="74">
        <v>21</v>
      </c>
      <c r="B23" s="74" t="str">
        <f>'[1]Лист1'!B25</f>
        <v>Свириденко Ксения Георгиевна</v>
      </c>
      <c r="C23" s="288">
        <v>92</v>
      </c>
      <c r="D23" s="289">
        <v>5</v>
      </c>
      <c r="E23" s="289">
        <v>58</v>
      </c>
      <c r="F23" s="289">
        <v>4</v>
      </c>
      <c r="G23" s="289">
        <v>3</v>
      </c>
      <c r="H23" s="289">
        <v>3</v>
      </c>
      <c r="I23" s="289"/>
      <c r="J23" s="290">
        <f t="shared" si="2"/>
        <v>698</v>
      </c>
      <c r="K23" s="289"/>
      <c r="L23" s="289"/>
      <c r="M23" s="289"/>
      <c r="N23" s="289">
        <f t="shared" si="5"/>
        <v>40</v>
      </c>
      <c r="O23" s="289">
        <v>20</v>
      </c>
      <c r="P23" s="289">
        <v>20</v>
      </c>
      <c r="Q23" s="289"/>
      <c r="R23" s="289"/>
      <c r="S23" s="289">
        <f t="shared" si="3"/>
        <v>5</v>
      </c>
      <c r="T23" s="289">
        <v>5</v>
      </c>
      <c r="U23" s="289">
        <f t="shared" si="4"/>
        <v>10</v>
      </c>
      <c r="V23" s="289">
        <v>5</v>
      </c>
      <c r="W23" s="289">
        <v>5</v>
      </c>
      <c r="X23" s="289"/>
      <c r="Y23" s="289"/>
      <c r="Z23" s="289"/>
      <c r="AA23" s="289">
        <v>5</v>
      </c>
      <c r="AB23" s="291">
        <v>2</v>
      </c>
      <c r="AC23">
        <f t="shared" si="0"/>
        <v>763</v>
      </c>
      <c r="AE23" s="292">
        <f t="shared" si="1"/>
        <v>763</v>
      </c>
    </row>
    <row r="24" spans="1:31" ht="15.75" thickBot="1">
      <c r="A24" s="74">
        <v>22</v>
      </c>
      <c r="B24" s="74" t="str">
        <f>'[1]Лист1'!B26</f>
        <v>Сосаева Татьяна Александровна</v>
      </c>
      <c r="C24" s="288">
        <v>104</v>
      </c>
      <c r="D24" s="289">
        <v>5</v>
      </c>
      <c r="E24" s="289">
        <v>41</v>
      </c>
      <c r="F24" s="289">
        <v>4</v>
      </c>
      <c r="G24" s="289">
        <v>14</v>
      </c>
      <c r="H24" s="289">
        <v>3</v>
      </c>
      <c r="I24" s="289"/>
      <c r="J24" s="290">
        <f t="shared" si="2"/>
        <v>701</v>
      </c>
      <c r="K24" s="289"/>
      <c r="L24" s="289"/>
      <c r="M24" s="289"/>
      <c r="N24" s="289">
        <f t="shared" si="5"/>
        <v>40</v>
      </c>
      <c r="O24" s="289">
        <v>20</v>
      </c>
      <c r="P24" s="289">
        <v>20</v>
      </c>
      <c r="Q24" s="289"/>
      <c r="R24" s="289"/>
      <c r="S24" s="289">
        <f t="shared" si="3"/>
        <v>5</v>
      </c>
      <c r="T24" s="289">
        <v>5</v>
      </c>
      <c r="U24" s="289">
        <f t="shared" si="4"/>
        <v>10</v>
      </c>
      <c r="V24" s="289">
        <v>5</v>
      </c>
      <c r="W24" s="289">
        <v>5</v>
      </c>
      <c r="X24" s="289"/>
      <c r="Y24" s="289"/>
      <c r="Z24" s="289"/>
      <c r="AA24" s="289">
        <v>5</v>
      </c>
      <c r="AB24" s="291">
        <v>2</v>
      </c>
      <c r="AC24">
        <f t="shared" si="0"/>
        <v>788</v>
      </c>
      <c r="AE24" s="292">
        <f t="shared" si="1"/>
        <v>788</v>
      </c>
    </row>
    <row r="25" spans="1:31" ht="15.75" thickBot="1">
      <c r="A25" s="74">
        <v>23</v>
      </c>
      <c r="B25" s="74" t="str">
        <f>'[1]Лист1'!B27</f>
        <v>Хасанова Наргиз Флорисовна</v>
      </c>
      <c r="C25" s="288">
        <v>116</v>
      </c>
      <c r="D25" s="289">
        <v>5</v>
      </c>
      <c r="E25" s="289">
        <v>43</v>
      </c>
      <c r="F25" s="289">
        <v>4</v>
      </c>
      <c r="G25" s="289">
        <v>2</v>
      </c>
      <c r="H25" s="289">
        <v>3</v>
      </c>
      <c r="I25" s="289"/>
      <c r="J25" s="290">
        <f t="shared" si="2"/>
        <v>757</v>
      </c>
      <c r="K25" s="289"/>
      <c r="L25" s="289"/>
      <c r="M25" s="289"/>
      <c r="N25" s="289">
        <f t="shared" si="5"/>
        <v>20</v>
      </c>
      <c r="O25" s="289">
        <v>20</v>
      </c>
      <c r="P25" s="289"/>
      <c r="Q25" s="289"/>
      <c r="R25" s="289"/>
      <c r="S25" s="289">
        <f t="shared" si="3"/>
        <v>5</v>
      </c>
      <c r="T25" s="289">
        <v>5</v>
      </c>
      <c r="U25" s="289">
        <f t="shared" si="4"/>
        <v>10</v>
      </c>
      <c r="V25" s="289">
        <v>5</v>
      </c>
      <c r="W25" s="289">
        <v>5</v>
      </c>
      <c r="X25" s="289"/>
      <c r="Y25" s="289"/>
      <c r="Z25" s="289"/>
      <c r="AA25" s="289">
        <v>5</v>
      </c>
      <c r="AB25" s="291">
        <v>2</v>
      </c>
      <c r="AC25">
        <f t="shared" si="0"/>
        <v>800</v>
      </c>
      <c r="AE25" s="292">
        <f t="shared" si="1"/>
        <v>800</v>
      </c>
    </row>
    <row r="26" spans="1:31" ht="15.75" thickBot="1">
      <c r="A26" s="74">
        <v>24</v>
      </c>
      <c r="B26" s="74" t="str">
        <f>'[1]Лист1'!B28</f>
        <v>Чекина Ангелина Максимовна</v>
      </c>
      <c r="C26" s="288">
        <v>104</v>
      </c>
      <c r="D26" s="289">
        <v>5</v>
      </c>
      <c r="E26" s="289">
        <v>43</v>
      </c>
      <c r="F26" s="289">
        <v>4</v>
      </c>
      <c r="G26" s="289">
        <v>15</v>
      </c>
      <c r="H26" s="289">
        <v>3</v>
      </c>
      <c r="I26" s="289"/>
      <c r="J26" s="290">
        <f t="shared" si="2"/>
        <v>710</v>
      </c>
      <c r="K26" s="289"/>
      <c r="L26" s="289"/>
      <c r="M26" s="289"/>
      <c r="N26" s="289">
        <f t="shared" si="5"/>
        <v>40</v>
      </c>
      <c r="O26" s="289">
        <v>20</v>
      </c>
      <c r="P26" s="289">
        <v>20</v>
      </c>
      <c r="Q26" s="289"/>
      <c r="R26" s="289"/>
      <c r="S26" s="289">
        <f t="shared" si="3"/>
        <v>5</v>
      </c>
      <c r="T26" s="289">
        <v>5</v>
      </c>
      <c r="U26" s="289">
        <f t="shared" si="4"/>
        <v>10</v>
      </c>
      <c r="V26" s="289">
        <v>5</v>
      </c>
      <c r="W26" s="289">
        <v>5</v>
      </c>
      <c r="X26" s="289"/>
      <c r="Y26" s="289"/>
      <c r="Z26" s="289"/>
      <c r="AA26" s="289">
        <v>5</v>
      </c>
      <c r="AB26" s="291">
        <v>2</v>
      </c>
      <c r="AC26">
        <f t="shared" si="0"/>
        <v>799</v>
      </c>
      <c r="AE26" s="292">
        <f t="shared" si="1"/>
        <v>799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S25"/>
    </sheetView>
  </sheetViews>
  <sheetFormatPr defaultColWidth="9.140625" defaultRowHeight="15"/>
  <sheetData>
    <row r="1" spans="1:19" ht="18.75">
      <c r="A1" s="303" t="s">
        <v>125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13387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4"/>
      <c r="R4" s="307"/>
      <c r="S4" s="310"/>
    </row>
    <row r="5" spans="1:19" ht="15">
      <c r="A5" s="26">
        <v>1</v>
      </c>
      <c r="B5" s="27" t="s">
        <v>126</v>
      </c>
      <c r="C5" s="26">
        <v>55</v>
      </c>
      <c r="D5" s="26">
        <v>280</v>
      </c>
      <c r="E5" s="26">
        <v>67</v>
      </c>
      <c r="F5" s="26">
        <v>0</v>
      </c>
      <c r="G5" s="28">
        <f>C5+D5+E5+F5</f>
        <v>402</v>
      </c>
      <c r="H5" s="26">
        <v>0</v>
      </c>
      <c r="I5" s="26">
        <v>0</v>
      </c>
      <c r="J5" s="26">
        <v>0</v>
      </c>
      <c r="K5" s="29">
        <v>0</v>
      </c>
      <c r="L5" s="29">
        <v>0</v>
      </c>
      <c r="M5" s="29">
        <v>15</v>
      </c>
      <c r="N5" s="29">
        <v>0</v>
      </c>
      <c r="O5" s="29">
        <v>0</v>
      </c>
      <c r="P5" s="29">
        <v>0</v>
      </c>
      <c r="Q5" s="29">
        <v>5</v>
      </c>
      <c r="R5" s="29">
        <v>2</v>
      </c>
      <c r="S5" s="30">
        <f>G5+H5+I5+J5+K5+L5+M5+N5+O5</f>
        <v>417</v>
      </c>
    </row>
    <row r="6" spans="1:19" ht="15">
      <c r="A6" s="26">
        <v>2</v>
      </c>
      <c r="B6" s="27" t="s">
        <v>127</v>
      </c>
      <c r="C6" s="26">
        <v>30</v>
      </c>
      <c r="D6" s="26">
        <v>243</v>
      </c>
      <c r="E6" s="26">
        <v>84</v>
      </c>
      <c r="F6" s="26">
        <v>0</v>
      </c>
      <c r="G6" s="28">
        <f>C6+D6+E6</f>
        <v>357</v>
      </c>
      <c r="H6" s="26">
        <v>0</v>
      </c>
      <c r="I6" s="26">
        <v>0</v>
      </c>
      <c r="J6" s="26">
        <v>0</v>
      </c>
      <c r="K6" s="31">
        <v>10</v>
      </c>
      <c r="L6" s="31">
        <v>0</v>
      </c>
      <c r="M6" s="29">
        <v>15</v>
      </c>
      <c r="N6" s="29">
        <v>0</v>
      </c>
      <c r="O6" s="31">
        <v>0</v>
      </c>
      <c r="P6" s="31">
        <v>0</v>
      </c>
      <c r="Q6" s="29">
        <v>5</v>
      </c>
      <c r="R6" s="31">
        <v>2</v>
      </c>
      <c r="S6" s="30">
        <f>G6+K6+M6</f>
        <v>382</v>
      </c>
    </row>
    <row r="7" spans="1:19" ht="15">
      <c r="A7" s="26">
        <v>3</v>
      </c>
      <c r="B7" s="27" t="s">
        <v>128</v>
      </c>
      <c r="C7" s="26">
        <v>560</v>
      </c>
      <c r="D7" s="26">
        <v>220</v>
      </c>
      <c r="E7" s="26">
        <v>48</v>
      </c>
      <c r="F7" s="26">
        <v>0</v>
      </c>
      <c r="G7" s="28">
        <f>C7+D7+E7+F7</f>
        <v>828</v>
      </c>
      <c r="H7" s="26">
        <v>0</v>
      </c>
      <c r="I7" s="26">
        <v>0</v>
      </c>
      <c r="J7" s="26">
        <v>0</v>
      </c>
      <c r="K7" s="31">
        <v>40</v>
      </c>
      <c r="L7" s="31">
        <v>0</v>
      </c>
      <c r="M7" s="29">
        <v>15</v>
      </c>
      <c r="N7" s="29">
        <v>0</v>
      </c>
      <c r="O7" s="31">
        <v>0</v>
      </c>
      <c r="P7" s="31">
        <v>0</v>
      </c>
      <c r="Q7" s="29">
        <v>5</v>
      </c>
      <c r="R7" s="31">
        <v>2</v>
      </c>
      <c r="S7" s="30">
        <f>G7+K7+M7+Q7+R7</f>
        <v>890</v>
      </c>
    </row>
    <row r="8" spans="1:19" ht="15">
      <c r="A8" s="26">
        <v>4</v>
      </c>
      <c r="B8" s="27" t="s">
        <v>129</v>
      </c>
      <c r="C8" s="26">
        <v>410</v>
      </c>
      <c r="D8" s="26">
        <v>292</v>
      </c>
      <c r="E8" s="26">
        <v>60</v>
      </c>
      <c r="F8" s="26">
        <v>0</v>
      </c>
      <c r="G8" s="28">
        <f>C8+D8+E8+F8</f>
        <v>762</v>
      </c>
      <c r="H8" s="26">
        <v>0</v>
      </c>
      <c r="I8" s="26">
        <v>0</v>
      </c>
      <c r="J8" s="26">
        <v>0</v>
      </c>
      <c r="K8" s="31">
        <v>30</v>
      </c>
      <c r="L8" s="31">
        <v>0</v>
      </c>
      <c r="M8" s="29">
        <v>15</v>
      </c>
      <c r="N8" s="29">
        <v>3</v>
      </c>
      <c r="O8" s="31">
        <v>0</v>
      </c>
      <c r="P8" s="31">
        <v>0</v>
      </c>
      <c r="Q8" s="29">
        <v>5</v>
      </c>
      <c r="R8" s="31">
        <v>2</v>
      </c>
      <c r="S8" s="30">
        <f>G8+K8+M8+N8+Q8+R8</f>
        <v>817</v>
      </c>
    </row>
    <row r="9" spans="1:19" ht="15">
      <c r="A9" s="26">
        <v>5</v>
      </c>
      <c r="B9" s="27" t="s">
        <v>130</v>
      </c>
      <c r="C9" s="26">
        <v>150</v>
      </c>
      <c r="D9" s="26">
        <v>340</v>
      </c>
      <c r="E9" s="26">
        <v>93</v>
      </c>
      <c r="F9" s="26">
        <v>0</v>
      </c>
      <c r="G9" s="28">
        <f>C9+D9+E9-F9</f>
        <v>583</v>
      </c>
      <c r="H9" s="26">
        <v>0</v>
      </c>
      <c r="I9" s="26">
        <v>0</v>
      </c>
      <c r="J9" s="26">
        <v>0</v>
      </c>
      <c r="K9" s="31">
        <v>10</v>
      </c>
      <c r="L9" s="31">
        <v>0</v>
      </c>
      <c r="M9" s="29">
        <v>20</v>
      </c>
      <c r="N9" s="29">
        <v>0</v>
      </c>
      <c r="O9" s="31">
        <v>0</v>
      </c>
      <c r="P9" s="31">
        <v>0</v>
      </c>
      <c r="Q9" s="29">
        <v>5</v>
      </c>
      <c r="R9" s="31">
        <v>2</v>
      </c>
      <c r="S9" s="30">
        <f>G9+K9+M9+Q9+R9</f>
        <v>620</v>
      </c>
    </row>
    <row r="10" spans="1:19" ht="15">
      <c r="A10" s="26">
        <v>6</v>
      </c>
      <c r="B10" s="27" t="s">
        <v>131</v>
      </c>
      <c r="C10" s="26">
        <v>185</v>
      </c>
      <c r="D10" s="26">
        <v>465</v>
      </c>
      <c r="E10" s="26">
        <v>130</v>
      </c>
      <c r="F10" s="26">
        <v>0</v>
      </c>
      <c r="G10" s="28">
        <f>C10+D10+E10+F10</f>
        <v>780</v>
      </c>
      <c r="H10" s="26">
        <v>0</v>
      </c>
      <c r="I10" s="26">
        <v>0</v>
      </c>
      <c r="J10" s="26">
        <v>0</v>
      </c>
      <c r="K10" s="31">
        <v>30</v>
      </c>
      <c r="L10" s="31">
        <v>0</v>
      </c>
      <c r="M10" s="29">
        <v>15</v>
      </c>
      <c r="N10" s="29">
        <v>0</v>
      </c>
      <c r="O10" s="31">
        <v>0</v>
      </c>
      <c r="P10" s="31">
        <v>0</v>
      </c>
      <c r="Q10" s="29">
        <v>5</v>
      </c>
      <c r="R10" s="31">
        <v>2</v>
      </c>
      <c r="S10" s="30">
        <f>G10+K10+M10+Q10+R10</f>
        <v>832</v>
      </c>
    </row>
    <row r="11" spans="1:19" ht="15">
      <c r="A11" s="26">
        <v>7</v>
      </c>
      <c r="B11" s="27" t="s">
        <v>132</v>
      </c>
      <c r="C11" s="26">
        <v>20</v>
      </c>
      <c r="D11" s="26">
        <v>244</v>
      </c>
      <c r="E11" s="26">
        <v>213</v>
      </c>
      <c r="F11" s="26">
        <v>0</v>
      </c>
      <c r="G11" s="28">
        <f>C11+D11+E11-F11</f>
        <v>477</v>
      </c>
      <c r="H11" s="26">
        <v>0</v>
      </c>
      <c r="I11" s="26">
        <v>0</v>
      </c>
      <c r="J11" s="26">
        <v>0</v>
      </c>
      <c r="K11" s="31">
        <v>10</v>
      </c>
      <c r="L11" s="31">
        <v>0</v>
      </c>
      <c r="M11" s="29">
        <v>15</v>
      </c>
      <c r="N11" s="29">
        <v>0</v>
      </c>
      <c r="O11" s="31">
        <v>0</v>
      </c>
      <c r="P11" s="31">
        <v>0</v>
      </c>
      <c r="Q11" s="29">
        <v>5</v>
      </c>
      <c r="R11" s="31">
        <v>2</v>
      </c>
      <c r="S11" s="30">
        <f>G11+K11+M11+Q11+R11</f>
        <v>509</v>
      </c>
    </row>
    <row r="12" spans="1:19" ht="15">
      <c r="A12" s="26">
        <v>8</v>
      </c>
      <c r="B12" s="27" t="s">
        <v>133</v>
      </c>
      <c r="C12" s="26">
        <v>10</v>
      </c>
      <c r="D12" s="26">
        <v>228</v>
      </c>
      <c r="E12" s="26">
        <v>177</v>
      </c>
      <c r="F12" s="26">
        <v>0</v>
      </c>
      <c r="G12" s="28">
        <f>C12+D12+E12+F12</f>
        <v>415</v>
      </c>
      <c r="H12" s="26">
        <v>0</v>
      </c>
      <c r="I12" s="26">
        <v>0</v>
      </c>
      <c r="J12" s="26">
        <v>0</v>
      </c>
      <c r="K12" s="31">
        <v>10</v>
      </c>
      <c r="L12" s="31">
        <v>0</v>
      </c>
      <c r="M12" s="29">
        <v>15</v>
      </c>
      <c r="N12" s="29">
        <v>3</v>
      </c>
      <c r="O12" s="31">
        <v>0</v>
      </c>
      <c r="P12" s="31">
        <v>0</v>
      </c>
      <c r="Q12" s="29">
        <v>5</v>
      </c>
      <c r="R12" s="31">
        <v>2</v>
      </c>
      <c r="S12" s="30">
        <f>G12+K12+M12+N12+Q12+R12</f>
        <v>450</v>
      </c>
    </row>
    <row r="13" spans="1:19" ht="15">
      <c r="A13" s="32">
        <v>9</v>
      </c>
      <c r="B13" s="33" t="s">
        <v>134</v>
      </c>
      <c r="C13" s="26">
        <v>795</v>
      </c>
      <c r="D13" s="26">
        <v>56</v>
      </c>
      <c r="E13" s="26">
        <v>0</v>
      </c>
      <c r="F13" s="32">
        <v>0</v>
      </c>
      <c r="G13" s="28">
        <f>C13+D13+E13-F13</f>
        <v>851</v>
      </c>
      <c r="H13" s="32">
        <v>0</v>
      </c>
      <c r="I13" s="32">
        <v>0</v>
      </c>
      <c r="J13" s="32">
        <v>0</v>
      </c>
      <c r="K13" s="34">
        <v>40</v>
      </c>
      <c r="L13" s="34">
        <v>0</v>
      </c>
      <c r="M13" s="32">
        <v>15</v>
      </c>
      <c r="N13" s="32">
        <v>3</v>
      </c>
      <c r="O13" s="34">
        <v>0</v>
      </c>
      <c r="P13" s="34">
        <v>0</v>
      </c>
      <c r="Q13" s="32">
        <v>5</v>
      </c>
      <c r="R13" s="34">
        <v>2</v>
      </c>
      <c r="S13" s="30">
        <f>G13+K13+M13+N13+Q13+R13</f>
        <v>916</v>
      </c>
    </row>
    <row r="14" spans="1:19" ht="15">
      <c r="A14" s="32">
        <v>10</v>
      </c>
      <c r="B14" s="27" t="s">
        <v>135</v>
      </c>
      <c r="C14" s="26">
        <v>40</v>
      </c>
      <c r="D14" s="26">
        <v>256</v>
      </c>
      <c r="E14" s="26">
        <v>171</v>
      </c>
      <c r="F14" s="32">
        <v>0</v>
      </c>
      <c r="G14" s="28">
        <f>C14+D14+E14+F14</f>
        <v>467</v>
      </c>
      <c r="H14" s="32">
        <v>0</v>
      </c>
      <c r="I14" s="32">
        <v>0</v>
      </c>
      <c r="J14" s="32">
        <v>0</v>
      </c>
      <c r="K14" s="34">
        <v>30</v>
      </c>
      <c r="L14" s="34">
        <v>0</v>
      </c>
      <c r="M14" s="32">
        <v>15</v>
      </c>
      <c r="N14" s="32">
        <v>0</v>
      </c>
      <c r="O14" s="34">
        <v>0</v>
      </c>
      <c r="P14" s="34">
        <v>0</v>
      </c>
      <c r="Q14" s="32">
        <v>5</v>
      </c>
      <c r="R14" s="34">
        <v>2</v>
      </c>
      <c r="S14" s="30">
        <f>G14+K14+M14+Q14+R14</f>
        <v>519</v>
      </c>
    </row>
    <row r="15" spans="1:19" ht="15">
      <c r="A15" s="26">
        <v>11</v>
      </c>
      <c r="B15" s="27" t="s">
        <v>136</v>
      </c>
      <c r="C15" s="26">
        <v>20</v>
      </c>
      <c r="D15" s="26">
        <v>112</v>
      </c>
      <c r="E15" s="26">
        <v>369</v>
      </c>
      <c r="F15" s="26">
        <v>0</v>
      </c>
      <c r="G15" s="28">
        <f>C15+D15+E15-F15</f>
        <v>501</v>
      </c>
      <c r="H15" s="26">
        <v>0</v>
      </c>
      <c r="I15" s="26">
        <v>0</v>
      </c>
      <c r="J15" s="26">
        <v>0</v>
      </c>
      <c r="K15" s="31">
        <v>30</v>
      </c>
      <c r="L15" s="31">
        <v>0</v>
      </c>
      <c r="M15" s="29">
        <v>15</v>
      </c>
      <c r="N15" s="29">
        <v>0</v>
      </c>
      <c r="O15" s="31">
        <v>0</v>
      </c>
      <c r="P15" s="31">
        <v>0</v>
      </c>
      <c r="Q15" s="29">
        <v>5</v>
      </c>
      <c r="R15" s="31">
        <v>2</v>
      </c>
      <c r="S15" s="30">
        <f>G15+K15+M15+Q15+R15</f>
        <v>553</v>
      </c>
    </row>
    <row r="16" spans="1:19" ht="15">
      <c r="A16" s="32">
        <v>12</v>
      </c>
      <c r="B16" s="27" t="s">
        <v>137</v>
      </c>
      <c r="C16" s="26">
        <v>465</v>
      </c>
      <c r="D16" s="26">
        <v>312</v>
      </c>
      <c r="E16" s="26">
        <v>0</v>
      </c>
      <c r="F16" s="32">
        <v>0</v>
      </c>
      <c r="G16" s="28">
        <f>C16+D16+E16+F16</f>
        <v>777</v>
      </c>
      <c r="H16" s="32">
        <v>0</v>
      </c>
      <c r="I16" s="32">
        <v>0</v>
      </c>
      <c r="J16" s="32">
        <v>0</v>
      </c>
      <c r="K16" s="34">
        <v>60</v>
      </c>
      <c r="L16" s="34">
        <v>0</v>
      </c>
      <c r="M16" s="32">
        <v>15</v>
      </c>
      <c r="N16" s="32">
        <v>3</v>
      </c>
      <c r="O16" s="34">
        <v>0</v>
      </c>
      <c r="P16" s="34">
        <v>0</v>
      </c>
      <c r="Q16" s="32">
        <v>5</v>
      </c>
      <c r="R16" s="34">
        <v>2</v>
      </c>
      <c r="S16" s="30">
        <f>G16+K16+M16+N16+Q16+R16</f>
        <v>862</v>
      </c>
    </row>
    <row r="17" spans="1:19" ht="15">
      <c r="A17" s="26">
        <v>13</v>
      </c>
      <c r="B17" s="27" t="s">
        <v>138</v>
      </c>
      <c r="C17" s="26">
        <v>25</v>
      </c>
      <c r="D17" s="26">
        <v>116</v>
      </c>
      <c r="E17" s="26">
        <v>320</v>
      </c>
      <c r="F17" s="26">
        <v>0</v>
      </c>
      <c r="G17" s="28">
        <f>C17+D17+E17-F17</f>
        <v>461</v>
      </c>
      <c r="H17" s="26">
        <v>0</v>
      </c>
      <c r="I17" s="26">
        <v>0</v>
      </c>
      <c r="J17" s="26">
        <v>0</v>
      </c>
      <c r="K17" s="31">
        <v>30</v>
      </c>
      <c r="L17" s="31">
        <v>0</v>
      </c>
      <c r="M17" s="29">
        <v>15</v>
      </c>
      <c r="N17" s="29">
        <v>3</v>
      </c>
      <c r="O17" s="31">
        <v>0</v>
      </c>
      <c r="P17" s="31">
        <v>0</v>
      </c>
      <c r="Q17" s="29">
        <v>5</v>
      </c>
      <c r="R17" s="31">
        <v>2</v>
      </c>
      <c r="S17" s="30">
        <f>G17+K17+M17+N17+Q17+R17</f>
        <v>516</v>
      </c>
    </row>
    <row r="18" spans="1:19" ht="15">
      <c r="A18" s="26">
        <v>14</v>
      </c>
      <c r="B18" s="27" t="s">
        <v>139</v>
      </c>
      <c r="C18" s="26">
        <v>210</v>
      </c>
      <c r="D18" s="26">
        <v>304</v>
      </c>
      <c r="E18" s="26">
        <v>84</v>
      </c>
      <c r="F18" s="26">
        <v>0</v>
      </c>
      <c r="G18" s="28">
        <f>C18+D18+E18+F18</f>
        <v>598</v>
      </c>
      <c r="H18" s="26">
        <v>0</v>
      </c>
      <c r="I18" s="26">
        <v>0</v>
      </c>
      <c r="J18" s="26">
        <v>0</v>
      </c>
      <c r="K18" s="31">
        <v>10</v>
      </c>
      <c r="L18" s="31">
        <v>0</v>
      </c>
      <c r="M18" s="29">
        <v>20</v>
      </c>
      <c r="N18" s="29">
        <v>3</v>
      </c>
      <c r="O18" s="31">
        <v>0</v>
      </c>
      <c r="P18" s="31">
        <v>0</v>
      </c>
      <c r="Q18" s="29">
        <v>5</v>
      </c>
      <c r="R18" s="31">
        <v>2</v>
      </c>
      <c r="S18" s="30">
        <f>G18+K18+M18+N18+Q18+R18</f>
        <v>638</v>
      </c>
    </row>
    <row r="19" spans="1:19" ht="15">
      <c r="A19" s="26">
        <v>15</v>
      </c>
      <c r="B19" s="27" t="s">
        <v>140</v>
      </c>
      <c r="C19" s="26">
        <v>45</v>
      </c>
      <c r="D19" s="26">
        <v>96</v>
      </c>
      <c r="E19" s="26">
        <v>309</v>
      </c>
      <c r="F19" s="26">
        <v>0</v>
      </c>
      <c r="G19" s="28">
        <f>C19+D19+E19-F19</f>
        <v>450</v>
      </c>
      <c r="H19" s="26">
        <v>0</v>
      </c>
      <c r="I19" s="26">
        <v>0</v>
      </c>
      <c r="J19" s="26">
        <v>0</v>
      </c>
      <c r="K19" s="31">
        <v>30</v>
      </c>
      <c r="L19" s="31">
        <v>0</v>
      </c>
      <c r="M19" s="29">
        <v>15</v>
      </c>
      <c r="N19" s="29">
        <v>0</v>
      </c>
      <c r="O19" s="31">
        <v>0</v>
      </c>
      <c r="P19" s="31">
        <v>0</v>
      </c>
      <c r="Q19" s="29">
        <v>5</v>
      </c>
      <c r="R19" s="31">
        <v>2</v>
      </c>
      <c r="S19" s="30">
        <f>G19+K19+M19+Q19+R19</f>
        <v>502</v>
      </c>
    </row>
    <row r="20" spans="1:19" ht="15">
      <c r="A20" s="26">
        <v>16</v>
      </c>
      <c r="B20" s="27" t="s">
        <v>141</v>
      </c>
      <c r="C20" s="26">
        <v>175</v>
      </c>
      <c r="D20" s="26">
        <v>408</v>
      </c>
      <c r="E20" s="26">
        <v>63</v>
      </c>
      <c r="F20" s="26">
        <v>0</v>
      </c>
      <c r="G20" s="28">
        <f>C20+D20+E20+F20</f>
        <v>646</v>
      </c>
      <c r="H20" s="26">
        <v>0</v>
      </c>
      <c r="I20" s="26">
        <v>0</v>
      </c>
      <c r="J20" s="26">
        <v>0</v>
      </c>
      <c r="K20" s="31">
        <v>30</v>
      </c>
      <c r="L20" s="31">
        <v>0</v>
      </c>
      <c r="M20" s="29">
        <v>15</v>
      </c>
      <c r="N20" s="29">
        <v>0</v>
      </c>
      <c r="O20" s="31">
        <v>0</v>
      </c>
      <c r="P20" s="31">
        <v>0</v>
      </c>
      <c r="Q20" s="29">
        <v>5</v>
      </c>
      <c r="R20" s="31">
        <v>2</v>
      </c>
      <c r="S20" s="30">
        <f>G20+K20+M20+Q20+R20</f>
        <v>698</v>
      </c>
    </row>
    <row r="21" spans="1:19" ht="15">
      <c r="A21" s="26">
        <v>17</v>
      </c>
      <c r="B21" s="27" t="s">
        <v>142</v>
      </c>
      <c r="C21" s="26">
        <v>660</v>
      </c>
      <c r="D21" s="26">
        <v>152</v>
      </c>
      <c r="E21" s="26">
        <v>12</v>
      </c>
      <c r="F21" s="26">
        <v>0</v>
      </c>
      <c r="G21" s="28">
        <f>C21+D21+E21-F21</f>
        <v>824</v>
      </c>
      <c r="H21" s="26">
        <v>0</v>
      </c>
      <c r="I21" s="26">
        <v>0</v>
      </c>
      <c r="J21" s="26">
        <v>0</v>
      </c>
      <c r="K21" s="31">
        <v>60</v>
      </c>
      <c r="L21" s="31">
        <v>0</v>
      </c>
      <c r="M21" s="29">
        <v>15</v>
      </c>
      <c r="N21" s="29">
        <v>3</v>
      </c>
      <c r="O21" s="31">
        <v>0</v>
      </c>
      <c r="P21" s="31">
        <v>0</v>
      </c>
      <c r="Q21" s="29">
        <v>5</v>
      </c>
      <c r="R21" s="31">
        <v>2</v>
      </c>
      <c r="S21" s="30">
        <f>G21+K21+Q21+R21</f>
        <v>891</v>
      </c>
    </row>
    <row r="22" spans="1:19" ht="15">
      <c r="A22" s="26">
        <v>18</v>
      </c>
      <c r="B22" s="27" t="s">
        <v>143</v>
      </c>
      <c r="C22" s="26">
        <v>45</v>
      </c>
      <c r="D22" s="26">
        <v>292</v>
      </c>
      <c r="E22" s="26">
        <v>219</v>
      </c>
      <c r="F22" s="26">
        <v>0</v>
      </c>
      <c r="G22" s="28">
        <f>C22+D22+E22+F22</f>
        <v>556</v>
      </c>
      <c r="H22" s="26">
        <v>0</v>
      </c>
      <c r="I22" s="26">
        <v>0</v>
      </c>
      <c r="J22" s="26">
        <v>0</v>
      </c>
      <c r="K22" s="31">
        <v>30</v>
      </c>
      <c r="L22" s="31">
        <v>0</v>
      </c>
      <c r="M22" s="29">
        <v>15</v>
      </c>
      <c r="N22" s="29">
        <v>0</v>
      </c>
      <c r="O22" s="31">
        <v>0</v>
      </c>
      <c r="P22" s="31">
        <v>0</v>
      </c>
      <c r="Q22" s="29">
        <v>5</v>
      </c>
      <c r="R22" s="31">
        <v>2</v>
      </c>
      <c r="S22" s="30">
        <f>G22+K22+M22+Q22+R22</f>
        <v>608</v>
      </c>
    </row>
    <row r="23" spans="1:19" ht="15">
      <c r="A23" s="26">
        <v>19</v>
      </c>
      <c r="B23" s="27" t="s">
        <v>144</v>
      </c>
      <c r="C23" s="26">
        <v>27</v>
      </c>
      <c r="D23" s="26">
        <v>273</v>
      </c>
      <c r="E23" s="26">
        <v>171</v>
      </c>
      <c r="F23" s="26">
        <v>0</v>
      </c>
      <c r="G23" s="28">
        <f>C23+D23+E23-F23</f>
        <v>471</v>
      </c>
      <c r="H23" s="26">
        <v>0</v>
      </c>
      <c r="I23" s="26">
        <v>0</v>
      </c>
      <c r="J23" s="26">
        <v>0</v>
      </c>
      <c r="K23" s="31">
        <v>30</v>
      </c>
      <c r="L23" s="31">
        <v>0</v>
      </c>
      <c r="M23" s="29">
        <v>15</v>
      </c>
      <c r="N23" s="29">
        <v>0</v>
      </c>
      <c r="O23" s="31">
        <v>0</v>
      </c>
      <c r="P23" s="31">
        <v>0</v>
      </c>
      <c r="Q23" s="29">
        <v>5</v>
      </c>
      <c r="R23" s="31">
        <v>2</v>
      </c>
      <c r="S23" s="30">
        <f>G23+K23+M23+Q23+R23</f>
        <v>523</v>
      </c>
    </row>
    <row r="24" spans="1:19" ht="15">
      <c r="A24" s="26">
        <v>20</v>
      </c>
      <c r="B24" s="27" t="s">
        <v>145</v>
      </c>
      <c r="C24" s="26">
        <v>280</v>
      </c>
      <c r="D24" s="26">
        <v>150</v>
      </c>
      <c r="E24" s="26">
        <v>63</v>
      </c>
      <c r="F24" s="26">
        <v>0</v>
      </c>
      <c r="G24" s="28">
        <f>C24+D24+E24</f>
        <v>493</v>
      </c>
      <c r="H24" s="26">
        <v>0</v>
      </c>
      <c r="I24" s="26">
        <v>0</v>
      </c>
      <c r="J24" s="26">
        <v>0</v>
      </c>
      <c r="K24" s="31">
        <v>30</v>
      </c>
      <c r="L24" s="31">
        <v>0</v>
      </c>
      <c r="M24" s="29">
        <v>0</v>
      </c>
      <c r="N24" s="29">
        <v>0</v>
      </c>
      <c r="O24" s="31">
        <v>0</v>
      </c>
      <c r="P24" s="31">
        <v>0</v>
      </c>
      <c r="Q24" s="29">
        <v>5</v>
      </c>
      <c r="R24" s="31">
        <v>2</v>
      </c>
      <c r="S24" s="30">
        <f>G24+K24+Q24</f>
        <v>528</v>
      </c>
    </row>
    <row r="25" spans="1:19" ht="15">
      <c r="A25" s="26">
        <v>21</v>
      </c>
      <c r="B25" s="27" t="s">
        <v>146</v>
      </c>
      <c r="C25" s="8">
        <v>110</v>
      </c>
      <c r="D25" s="8">
        <v>476</v>
      </c>
      <c r="E25" s="26">
        <v>75</v>
      </c>
      <c r="F25" s="26">
        <v>0</v>
      </c>
      <c r="G25" s="28">
        <f>C25+D25+E25+F25</f>
        <v>661</v>
      </c>
      <c r="H25" s="26">
        <v>0</v>
      </c>
      <c r="I25" s="26">
        <v>0</v>
      </c>
      <c r="J25" s="26">
        <v>0</v>
      </c>
      <c r="K25" s="31">
        <v>30</v>
      </c>
      <c r="L25" s="31">
        <v>0</v>
      </c>
      <c r="M25" s="29">
        <v>15</v>
      </c>
      <c r="N25" s="29">
        <v>3</v>
      </c>
      <c r="O25" s="31">
        <v>0</v>
      </c>
      <c r="P25" s="31">
        <v>0</v>
      </c>
      <c r="Q25" s="29">
        <v>5</v>
      </c>
      <c r="R25" s="31">
        <v>2</v>
      </c>
      <c r="S25" s="30">
        <f>G25+K25+M25+N25+Q25+R25</f>
        <v>716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S29"/>
    </sheetView>
  </sheetViews>
  <sheetFormatPr defaultColWidth="9.140625" defaultRowHeight="15"/>
  <sheetData>
    <row r="1" spans="1:19" ht="18.75">
      <c r="A1" s="303" t="s">
        <v>147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SUM(S5:S28)</f>
        <v>15084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7" t="s">
        <v>148</v>
      </c>
      <c r="C5" s="26">
        <v>95</v>
      </c>
      <c r="D5" s="26">
        <v>328</v>
      </c>
      <c r="E5" s="26">
        <v>108</v>
      </c>
      <c r="F5" s="26">
        <v>4</v>
      </c>
      <c r="G5" s="28">
        <f>SUM(C5:F5)</f>
        <v>535</v>
      </c>
      <c r="H5" s="26">
        <v>-80</v>
      </c>
      <c r="I5" s="26">
        <v>0</v>
      </c>
      <c r="J5" s="26">
        <v>0</v>
      </c>
      <c r="K5" s="29">
        <v>0</v>
      </c>
      <c r="L5" s="29">
        <v>10</v>
      </c>
      <c r="M5" s="29">
        <v>15</v>
      </c>
      <c r="N5" s="29">
        <v>0</v>
      </c>
      <c r="O5" s="29">
        <v>0</v>
      </c>
      <c r="P5" s="29">
        <v>0</v>
      </c>
      <c r="Q5" s="29">
        <v>5</v>
      </c>
      <c r="R5" s="29">
        <v>4</v>
      </c>
      <c r="S5" s="30">
        <f>SUM(G5:R5)</f>
        <v>489</v>
      </c>
    </row>
    <row r="6" spans="1:19" ht="15">
      <c r="A6" s="26">
        <v>2</v>
      </c>
      <c r="B6" s="52" t="s">
        <v>149</v>
      </c>
      <c r="C6" s="26">
        <v>655</v>
      </c>
      <c r="D6" s="26">
        <v>96</v>
      </c>
      <c r="E6" s="26">
        <v>24</v>
      </c>
      <c r="F6" s="26">
        <v>2</v>
      </c>
      <c r="G6" s="28">
        <f aca="true" t="shared" si="0" ref="G6:G28">SUM(C6:F6)</f>
        <v>777</v>
      </c>
      <c r="H6" s="26">
        <v>0</v>
      </c>
      <c r="I6" s="26">
        <v>0</v>
      </c>
      <c r="J6" s="26">
        <v>0</v>
      </c>
      <c r="K6" s="31">
        <v>30</v>
      </c>
      <c r="L6" s="31">
        <v>0</v>
      </c>
      <c r="M6" s="29">
        <v>20</v>
      </c>
      <c r="N6" s="29">
        <v>3</v>
      </c>
      <c r="O6" s="31">
        <v>0</v>
      </c>
      <c r="P6" s="31">
        <v>0</v>
      </c>
      <c r="Q6" s="29">
        <v>5</v>
      </c>
      <c r="R6" s="31">
        <v>0</v>
      </c>
      <c r="S6" s="30">
        <f aca="true" t="shared" si="1" ref="S6:S28">SUM(G6:R6)</f>
        <v>835</v>
      </c>
    </row>
    <row r="7" spans="1:19" ht="15">
      <c r="A7" s="26">
        <v>3</v>
      </c>
      <c r="B7" s="53" t="s">
        <v>150</v>
      </c>
      <c r="C7" s="26">
        <v>505</v>
      </c>
      <c r="D7" s="26">
        <v>168</v>
      </c>
      <c r="E7" s="26">
        <v>9</v>
      </c>
      <c r="F7" s="26">
        <v>0</v>
      </c>
      <c r="G7" s="28">
        <f t="shared" si="0"/>
        <v>682</v>
      </c>
      <c r="H7" s="26">
        <v>0</v>
      </c>
      <c r="I7" s="26">
        <v>0</v>
      </c>
      <c r="J7" s="26">
        <v>0</v>
      </c>
      <c r="K7" s="31">
        <v>10</v>
      </c>
      <c r="L7" s="31">
        <v>10</v>
      </c>
      <c r="M7" s="29">
        <v>30</v>
      </c>
      <c r="N7" s="29">
        <v>0</v>
      </c>
      <c r="O7" s="31">
        <v>0</v>
      </c>
      <c r="P7" s="31">
        <v>0</v>
      </c>
      <c r="Q7" s="29">
        <v>5</v>
      </c>
      <c r="R7" s="31">
        <v>4</v>
      </c>
      <c r="S7" s="30">
        <f t="shared" si="1"/>
        <v>741</v>
      </c>
    </row>
    <row r="8" spans="1:19" ht="15">
      <c r="A8" s="26">
        <v>4</v>
      </c>
      <c r="B8" s="52" t="s">
        <v>151</v>
      </c>
      <c r="C8" s="26">
        <v>185</v>
      </c>
      <c r="D8" s="26">
        <v>336</v>
      </c>
      <c r="E8" s="26">
        <v>63</v>
      </c>
      <c r="F8" s="26">
        <v>0</v>
      </c>
      <c r="G8" s="28">
        <f t="shared" si="0"/>
        <v>584</v>
      </c>
      <c r="H8" s="26">
        <v>-40</v>
      </c>
      <c r="I8" s="26">
        <v>0</v>
      </c>
      <c r="J8" s="26">
        <v>0</v>
      </c>
      <c r="K8" s="31">
        <v>0</v>
      </c>
      <c r="L8" s="31">
        <v>5</v>
      </c>
      <c r="M8" s="29">
        <v>15</v>
      </c>
      <c r="N8" s="29">
        <v>0</v>
      </c>
      <c r="O8" s="31">
        <v>0</v>
      </c>
      <c r="P8" s="31">
        <v>0</v>
      </c>
      <c r="Q8" s="29">
        <v>5</v>
      </c>
      <c r="R8" s="31">
        <v>4</v>
      </c>
      <c r="S8" s="30">
        <f t="shared" si="1"/>
        <v>573</v>
      </c>
    </row>
    <row r="9" spans="1:19" ht="15">
      <c r="A9" s="26">
        <v>5</v>
      </c>
      <c r="B9" s="52" t="s">
        <v>152</v>
      </c>
      <c r="C9" s="26">
        <v>120</v>
      </c>
      <c r="D9" s="26">
        <v>232</v>
      </c>
      <c r="E9" s="26">
        <v>183</v>
      </c>
      <c r="F9" s="26">
        <v>2</v>
      </c>
      <c r="G9" s="28">
        <f t="shared" si="0"/>
        <v>537</v>
      </c>
      <c r="H9" s="26">
        <v>-60</v>
      </c>
      <c r="I9" s="26">
        <v>0</v>
      </c>
      <c r="J9" s="26">
        <v>0</v>
      </c>
      <c r="K9" s="31">
        <v>0</v>
      </c>
      <c r="L9" s="31">
        <v>5</v>
      </c>
      <c r="M9" s="29">
        <v>5</v>
      </c>
      <c r="N9" s="29">
        <v>0</v>
      </c>
      <c r="O9" s="31">
        <v>0</v>
      </c>
      <c r="P9" s="31">
        <v>0</v>
      </c>
      <c r="Q9" s="29">
        <v>5</v>
      </c>
      <c r="R9" s="31">
        <v>2</v>
      </c>
      <c r="S9" s="30">
        <f t="shared" si="1"/>
        <v>494</v>
      </c>
    </row>
    <row r="10" spans="1:19" ht="15">
      <c r="A10" s="26">
        <v>6</v>
      </c>
      <c r="B10" s="52" t="s">
        <v>153</v>
      </c>
      <c r="C10" s="26">
        <v>80</v>
      </c>
      <c r="D10" s="26">
        <v>256</v>
      </c>
      <c r="E10" s="26">
        <v>126</v>
      </c>
      <c r="F10" s="26">
        <v>0</v>
      </c>
      <c r="G10" s="28">
        <f t="shared" si="0"/>
        <v>462</v>
      </c>
      <c r="H10" s="26">
        <v>-140</v>
      </c>
      <c r="I10" s="26">
        <v>0</v>
      </c>
      <c r="J10" s="26">
        <v>0</v>
      </c>
      <c r="K10" s="31">
        <v>0</v>
      </c>
      <c r="L10" s="31">
        <v>5</v>
      </c>
      <c r="M10" s="29">
        <v>5</v>
      </c>
      <c r="N10" s="29">
        <v>0</v>
      </c>
      <c r="O10" s="31">
        <v>0</v>
      </c>
      <c r="P10" s="31">
        <v>0</v>
      </c>
      <c r="Q10" s="29">
        <v>5</v>
      </c>
      <c r="R10" s="31">
        <v>4</v>
      </c>
      <c r="S10" s="30">
        <f t="shared" si="1"/>
        <v>341</v>
      </c>
    </row>
    <row r="11" spans="1:19" ht="15">
      <c r="A11" s="26">
        <v>7</v>
      </c>
      <c r="B11" s="52" t="s">
        <v>154</v>
      </c>
      <c r="C11" s="26">
        <v>205</v>
      </c>
      <c r="D11" s="26">
        <v>316</v>
      </c>
      <c r="E11" s="26">
        <v>42</v>
      </c>
      <c r="F11" s="26">
        <v>2</v>
      </c>
      <c r="G11" s="28">
        <f t="shared" si="0"/>
        <v>565</v>
      </c>
      <c r="H11" s="26">
        <v>-60</v>
      </c>
      <c r="I11" s="26">
        <v>0</v>
      </c>
      <c r="J11" s="26">
        <v>0</v>
      </c>
      <c r="K11" s="31">
        <v>10</v>
      </c>
      <c r="L11" s="31">
        <v>10</v>
      </c>
      <c r="M11" s="29">
        <v>30</v>
      </c>
      <c r="N11" s="29">
        <v>0</v>
      </c>
      <c r="O11" s="31">
        <v>0</v>
      </c>
      <c r="P11" s="31">
        <v>0</v>
      </c>
      <c r="Q11" s="29">
        <v>5</v>
      </c>
      <c r="R11" s="31">
        <v>4</v>
      </c>
      <c r="S11" s="30">
        <f t="shared" si="1"/>
        <v>564</v>
      </c>
    </row>
    <row r="12" spans="1:19" ht="15">
      <c r="A12" s="26">
        <v>8</v>
      </c>
      <c r="B12" s="52" t="s">
        <v>155</v>
      </c>
      <c r="C12" s="26">
        <v>265</v>
      </c>
      <c r="D12" s="26">
        <v>284</v>
      </c>
      <c r="E12" s="26">
        <v>84</v>
      </c>
      <c r="F12" s="26">
        <v>0</v>
      </c>
      <c r="G12" s="28">
        <f t="shared" si="0"/>
        <v>633</v>
      </c>
      <c r="H12" s="26">
        <v>0</v>
      </c>
      <c r="I12" s="26">
        <v>0</v>
      </c>
      <c r="J12" s="26">
        <v>0</v>
      </c>
      <c r="K12" s="31">
        <v>0</v>
      </c>
      <c r="L12" s="31">
        <v>5</v>
      </c>
      <c r="M12" s="29">
        <v>0</v>
      </c>
      <c r="N12" s="29">
        <v>0</v>
      </c>
      <c r="O12" s="31">
        <v>0</v>
      </c>
      <c r="P12" s="31">
        <v>0</v>
      </c>
      <c r="Q12" s="29">
        <v>5</v>
      </c>
      <c r="R12" s="31">
        <v>2</v>
      </c>
      <c r="S12" s="30">
        <f t="shared" si="1"/>
        <v>645</v>
      </c>
    </row>
    <row r="13" spans="1:19" ht="45">
      <c r="A13" s="32">
        <v>9</v>
      </c>
      <c r="B13" s="54" t="s">
        <v>156</v>
      </c>
      <c r="C13" s="26">
        <v>235</v>
      </c>
      <c r="D13" s="26">
        <v>336</v>
      </c>
      <c r="E13" s="26">
        <v>33</v>
      </c>
      <c r="F13" s="32">
        <v>0</v>
      </c>
      <c r="G13" s="28">
        <f t="shared" si="0"/>
        <v>604</v>
      </c>
      <c r="H13" s="32">
        <v>0</v>
      </c>
      <c r="I13" s="32">
        <v>0</v>
      </c>
      <c r="J13" s="32">
        <v>0</v>
      </c>
      <c r="K13" s="34">
        <v>0</v>
      </c>
      <c r="L13" s="34">
        <v>10</v>
      </c>
      <c r="M13" s="32">
        <v>5</v>
      </c>
      <c r="N13" s="32">
        <v>0</v>
      </c>
      <c r="O13" s="34">
        <v>0</v>
      </c>
      <c r="P13" s="34">
        <v>0</v>
      </c>
      <c r="Q13" s="32">
        <v>5</v>
      </c>
      <c r="R13" s="34">
        <v>4</v>
      </c>
      <c r="S13" s="30">
        <f t="shared" si="1"/>
        <v>628</v>
      </c>
    </row>
    <row r="14" spans="1:19" ht="15">
      <c r="A14" s="32">
        <v>10</v>
      </c>
      <c r="B14" s="52" t="s">
        <v>157</v>
      </c>
      <c r="C14" s="26">
        <v>580</v>
      </c>
      <c r="D14" s="26">
        <v>128</v>
      </c>
      <c r="E14" s="26">
        <v>9</v>
      </c>
      <c r="F14" s="32">
        <v>2</v>
      </c>
      <c r="G14" s="28">
        <f t="shared" si="0"/>
        <v>719</v>
      </c>
      <c r="H14" s="32">
        <v>-40</v>
      </c>
      <c r="I14" s="32">
        <v>0</v>
      </c>
      <c r="J14" s="32">
        <v>0</v>
      </c>
      <c r="K14" s="34">
        <v>10</v>
      </c>
      <c r="L14" s="34">
        <v>10</v>
      </c>
      <c r="M14" s="32">
        <v>30</v>
      </c>
      <c r="N14" s="32">
        <v>5</v>
      </c>
      <c r="O14" s="34">
        <v>0</v>
      </c>
      <c r="P14" s="34">
        <v>0</v>
      </c>
      <c r="Q14" s="32">
        <v>5</v>
      </c>
      <c r="R14" s="34">
        <v>4</v>
      </c>
      <c r="S14" s="30">
        <f t="shared" si="1"/>
        <v>743</v>
      </c>
    </row>
    <row r="15" spans="1:19" ht="15">
      <c r="A15" s="26">
        <v>11</v>
      </c>
      <c r="B15" s="52" t="s">
        <v>158</v>
      </c>
      <c r="C15" s="26">
        <v>530</v>
      </c>
      <c r="D15" s="26">
        <v>116</v>
      </c>
      <c r="E15" s="26">
        <v>15</v>
      </c>
      <c r="F15" s="26">
        <v>2</v>
      </c>
      <c r="G15" s="28">
        <f t="shared" si="0"/>
        <v>663</v>
      </c>
      <c r="H15" s="26">
        <v>0</v>
      </c>
      <c r="I15" s="26">
        <v>0</v>
      </c>
      <c r="J15" s="26">
        <v>0</v>
      </c>
      <c r="K15" s="31">
        <v>10</v>
      </c>
      <c r="L15" s="31">
        <v>10</v>
      </c>
      <c r="M15" s="29">
        <v>30</v>
      </c>
      <c r="N15" s="29">
        <v>3</v>
      </c>
      <c r="O15" s="31">
        <v>0</v>
      </c>
      <c r="P15" s="31">
        <v>0</v>
      </c>
      <c r="Q15" s="29">
        <v>5</v>
      </c>
      <c r="R15" s="31">
        <v>4</v>
      </c>
      <c r="S15" s="30">
        <f t="shared" si="1"/>
        <v>725</v>
      </c>
    </row>
    <row r="16" spans="1:19" ht="15">
      <c r="A16" s="32">
        <v>12</v>
      </c>
      <c r="B16" s="52" t="s">
        <v>159</v>
      </c>
      <c r="C16" s="26">
        <v>355</v>
      </c>
      <c r="D16" s="26">
        <v>208</v>
      </c>
      <c r="E16" s="26">
        <v>27</v>
      </c>
      <c r="F16" s="32">
        <v>0</v>
      </c>
      <c r="G16" s="28">
        <f t="shared" si="0"/>
        <v>590</v>
      </c>
      <c r="H16" s="32">
        <v>0</v>
      </c>
      <c r="I16" s="32">
        <v>0</v>
      </c>
      <c r="J16" s="32">
        <v>0</v>
      </c>
      <c r="K16" s="34">
        <v>0</v>
      </c>
      <c r="L16" s="34">
        <v>0</v>
      </c>
      <c r="M16" s="32">
        <v>0</v>
      </c>
      <c r="N16" s="32">
        <v>0</v>
      </c>
      <c r="O16" s="34">
        <v>0</v>
      </c>
      <c r="P16" s="34">
        <v>0</v>
      </c>
      <c r="Q16" s="32">
        <v>5</v>
      </c>
      <c r="R16" s="34">
        <v>0</v>
      </c>
      <c r="S16" s="30">
        <f t="shared" si="1"/>
        <v>595</v>
      </c>
    </row>
    <row r="17" spans="1:19" ht="15">
      <c r="A17" s="26">
        <v>13</v>
      </c>
      <c r="B17" s="52" t="s">
        <v>160</v>
      </c>
      <c r="C17" s="26">
        <v>365</v>
      </c>
      <c r="D17" s="26">
        <v>244</v>
      </c>
      <c r="E17" s="26">
        <v>36</v>
      </c>
      <c r="F17" s="26">
        <v>0</v>
      </c>
      <c r="G17" s="28">
        <f t="shared" si="0"/>
        <v>645</v>
      </c>
      <c r="H17" s="26">
        <v>0</v>
      </c>
      <c r="I17" s="26">
        <v>0</v>
      </c>
      <c r="J17" s="26">
        <v>0</v>
      </c>
      <c r="K17" s="31">
        <v>0</v>
      </c>
      <c r="L17" s="31">
        <v>0</v>
      </c>
      <c r="M17" s="29">
        <v>0</v>
      </c>
      <c r="N17" s="29">
        <v>0</v>
      </c>
      <c r="O17" s="31">
        <v>0</v>
      </c>
      <c r="P17" s="31">
        <v>0</v>
      </c>
      <c r="Q17" s="29">
        <v>5</v>
      </c>
      <c r="R17" s="31">
        <v>0</v>
      </c>
      <c r="S17" s="30">
        <f t="shared" si="1"/>
        <v>650</v>
      </c>
    </row>
    <row r="18" spans="1:19" ht="15">
      <c r="A18" s="26">
        <v>14</v>
      </c>
      <c r="B18" s="52" t="s">
        <v>161</v>
      </c>
      <c r="C18" s="26">
        <v>230</v>
      </c>
      <c r="D18" s="26">
        <v>312</v>
      </c>
      <c r="E18" s="26">
        <v>54</v>
      </c>
      <c r="F18" s="26">
        <v>0</v>
      </c>
      <c r="G18" s="28">
        <f t="shared" si="0"/>
        <v>596</v>
      </c>
      <c r="H18" s="26">
        <v>0</v>
      </c>
      <c r="I18" s="26">
        <v>0</v>
      </c>
      <c r="J18" s="26">
        <v>0</v>
      </c>
      <c r="K18" s="31">
        <v>0</v>
      </c>
      <c r="L18" s="31">
        <v>0</v>
      </c>
      <c r="M18" s="29">
        <v>0</v>
      </c>
      <c r="N18" s="29">
        <v>0</v>
      </c>
      <c r="O18" s="31">
        <v>0</v>
      </c>
      <c r="P18" s="31">
        <v>0</v>
      </c>
      <c r="Q18" s="29">
        <v>5</v>
      </c>
      <c r="R18" s="31">
        <v>2</v>
      </c>
      <c r="S18" s="30">
        <f t="shared" si="1"/>
        <v>603</v>
      </c>
    </row>
    <row r="19" spans="1:19" ht="15">
      <c r="A19" s="26">
        <v>15</v>
      </c>
      <c r="B19" s="52" t="s">
        <v>162</v>
      </c>
      <c r="C19" s="26">
        <v>590</v>
      </c>
      <c r="D19" s="26">
        <v>104</v>
      </c>
      <c r="E19" s="26">
        <v>18</v>
      </c>
      <c r="F19" s="26"/>
      <c r="G19" s="28">
        <f t="shared" si="0"/>
        <v>712</v>
      </c>
      <c r="H19" s="26">
        <v>0</v>
      </c>
      <c r="I19" s="26">
        <v>0</v>
      </c>
      <c r="J19" s="26">
        <v>0</v>
      </c>
      <c r="K19" s="31">
        <v>0</v>
      </c>
      <c r="L19" s="31">
        <v>0</v>
      </c>
      <c r="M19" s="29">
        <v>15</v>
      </c>
      <c r="N19" s="29">
        <v>3</v>
      </c>
      <c r="O19" s="31">
        <v>0</v>
      </c>
      <c r="P19" s="31">
        <v>0</v>
      </c>
      <c r="Q19" s="29">
        <v>5</v>
      </c>
      <c r="R19" s="31">
        <v>2</v>
      </c>
      <c r="S19" s="30">
        <f t="shared" si="1"/>
        <v>737</v>
      </c>
    </row>
    <row r="20" spans="1:19" ht="15">
      <c r="A20" s="26">
        <v>16</v>
      </c>
      <c r="B20" s="52" t="s">
        <v>163</v>
      </c>
      <c r="C20" s="26">
        <v>465</v>
      </c>
      <c r="D20" s="26">
        <v>172</v>
      </c>
      <c r="E20" s="26">
        <v>12</v>
      </c>
      <c r="F20" s="26">
        <v>0</v>
      </c>
      <c r="G20" s="28">
        <f t="shared" si="0"/>
        <v>649</v>
      </c>
      <c r="H20" s="26">
        <v>0</v>
      </c>
      <c r="I20" s="26">
        <v>0</v>
      </c>
      <c r="J20" s="26">
        <v>0</v>
      </c>
      <c r="K20" s="31">
        <v>30</v>
      </c>
      <c r="L20" s="31">
        <v>0</v>
      </c>
      <c r="M20" s="29">
        <v>0</v>
      </c>
      <c r="N20" s="29">
        <v>0</v>
      </c>
      <c r="O20" s="31">
        <v>0</v>
      </c>
      <c r="P20" s="31">
        <v>0</v>
      </c>
      <c r="Q20" s="29">
        <v>5</v>
      </c>
      <c r="R20" s="31">
        <v>0</v>
      </c>
      <c r="S20" s="30">
        <f t="shared" si="1"/>
        <v>684</v>
      </c>
    </row>
    <row r="21" spans="1:19" ht="15">
      <c r="A21" s="26">
        <v>17</v>
      </c>
      <c r="B21" s="52" t="s">
        <v>164</v>
      </c>
      <c r="C21" s="26">
        <v>165</v>
      </c>
      <c r="D21" s="26">
        <v>364</v>
      </c>
      <c r="E21" s="26">
        <v>36</v>
      </c>
      <c r="F21" s="26">
        <v>0</v>
      </c>
      <c r="G21" s="28">
        <f t="shared" si="0"/>
        <v>565</v>
      </c>
      <c r="H21" s="26">
        <v>-380</v>
      </c>
      <c r="I21" s="26">
        <v>0</v>
      </c>
      <c r="J21" s="26">
        <v>0</v>
      </c>
      <c r="K21" s="31">
        <v>0</v>
      </c>
      <c r="L21" s="31">
        <v>5</v>
      </c>
      <c r="M21" s="29">
        <v>5</v>
      </c>
      <c r="N21" s="29">
        <v>0</v>
      </c>
      <c r="O21" s="31">
        <v>0</v>
      </c>
      <c r="P21" s="31">
        <v>0</v>
      </c>
      <c r="Q21" s="29">
        <v>5</v>
      </c>
      <c r="R21" s="31">
        <v>0</v>
      </c>
      <c r="S21" s="30">
        <f t="shared" si="1"/>
        <v>200</v>
      </c>
    </row>
    <row r="22" spans="1:19" ht="15">
      <c r="A22" s="26">
        <v>18</v>
      </c>
      <c r="B22" s="52" t="s">
        <v>165</v>
      </c>
      <c r="C22" s="26">
        <v>270</v>
      </c>
      <c r="D22" s="26">
        <v>328</v>
      </c>
      <c r="E22" s="26">
        <v>42</v>
      </c>
      <c r="F22" s="26">
        <v>0</v>
      </c>
      <c r="G22" s="28">
        <f t="shared" si="0"/>
        <v>640</v>
      </c>
      <c r="H22" s="26">
        <v>0</v>
      </c>
      <c r="I22" s="26">
        <v>0</v>
      </c>
      <c r="J22" s="26">
        <v>0</v>
      </c>
      <c r="K22" s="31">
        <v>0</v>
      </c>
      <c r="L22" s="31">
        <v>0</v>
      </c>
      <c r="M22" s="29">
        <v>15</v>
      </c>
      <c r="N22" s="29">
        <v>0</v>
      </c>
      <c r="O22" s="31">
        <v>0</v>
      </c>
      <c r="P22" s="31">
        <v>0</v>
      </c>
      <c r="Q22" s="29">
        <v>5</v>
      </c>
      <c r="R22" s="31">
        <v>4</v>
      </c>
      <c r="S22" s="30">
        <f t="shared" si="1"/>
        <v>664</v>
      </c>
    </row>
    <row r="23" spans="1:19" ht="15">
      <c r="A23" s="26">
        <v>19</v>
      </c>
      <c r="B23" s="52" t="s">
        <v>166</v>
      </c>
      <c r="C23" s="26">
        <v>240</v>
      </c>
      <c r="D23" s="26">
        <v>332</v>
      </c>
      <c r="E23" s="26">
        <v>33</v>
      </c>
      <c r="F23" s="26">
        <v>0</v>
      </c>
      <c r="G23" s="28">
        <f t="shared" si="0"/>
        <v>605</v>
      </c>
      <c r="H23" s="26">
        <v>0</v>
      </c>
      <c r="I23" s="26">
        <v>0</v>
      </c>
      <c r="J23" s="26">
        <v>0</v>
      </c>
      <c r="K23" s="31">
        <v>0</v>
      </c>
      <c r="L23" s="31">
        <v>10</v>
      </c>
      <c r="M23" s="29">
        <v>30</v>
      </c>
      <c r="N23" s="29">
        <v>3</v>
      </c>
      <c r="O23" s="31">
        <v>0</v>
      </c>
      <c r="P23" s="31">
        <v>0</v>
      </c>
      <c r="Q23" s="29">
        <v>5</v>
      </c>
      <c r="R23" s="31">
        <v>4</v>
      </c>
      <c r="S23" s="30">
        <f t="shared" si="1"/>
        <v>657</v>
      </c>
    </row>
    <row r="24" spans="1:19" ht="15">
      <c r="A24" s="26">
        <v>20</v>
      </c>
      <c r="B24" s="52" t="s">
        <v>167</v>
      </c>
      <c r="C24" s="26">
        <v>465</v>
      </c>
      <c r="D24" s="26">
        <v>176</v>
      </c>
      <c r="E24" s="26">
        <v>24</v>
      </c>
      <c r="F24" s="26">
        <v>0</v>
      </c>
      <c r="G24" s="28">
        <f t="shared" si="0"/>
        <v>665</v>
      </c>
      <c r="H24" s="26">
        <v>-60</v>
      </c>
      <c r="I24" s="26">
        <v>0</v>
      </c>
      <c r="J24" s="26">
        <v>0</v>
      </c>
      <c r="K24" s="31">
        <v>0</v>
      </c>
      <c r="L24" s="31">
        <v>5</v>
      </c>
      <c r="M24" s="29">
        <v>5</v>
      </c>
      <c r="N24" s="29">
        <v>0</v>
      </c>
      <c r="O24" s="31">
        <v>0</v>
      </c>
      <c r="P24" s="31">
        <v>0</v>
      </c>
      <c r="Q24" s="29">
        <v>5</v>
      </c>
      <c r="R24" s="31">
        <v>4</v>
      </c>
      <c r="S24" s="30">
        <f t="shared" si="1"/>
        <v>624</v>
      </c>
    </row>
    <row r="25" spans="1:19" ht="15">
      <c r="A25" s="26">
        <v>21</v>
      </c>
      <c r="B25" s="52" t="s">
        <v>168</v>
      </c>
      <c r="C25" s="8">
        <v>575</v>
      </c>
      <c r="D25" s="8">
        <v>116</v>
      </c>
      <c r="E25" s="26">
        <v>9</v>
      </c>
      <c r="F25" s="26">
        <v>0</v>
      </c>
      <c r="G25" s="28">
        <f t="shared" si="0"/>
        <v>700</v>
      </c>
      <c r="H25" s="26">
        <v>0</v>
      </c>
      <c r="I25" s="26">
        <v>0</v>
      </c>
      <c r="J25" s="26">
        <v>0</v>
      </c>
      <c r="K25" s="31">
        <v>30</v>
      </c>
      <c r="L25" s="31">
        <v>10</v>
      </c>
      <c r="M25" s="29">
        <v>30</v>
      </c>
      <c r="N25" s="29">
        <v>0</v>
      </c>
      <c r="O25" s="31">
        <v>0</v>
      </c>
      <c r="P25" s="31">
        <v>0</v>
      </c>
      <c r="Q25" s="29">
        <v>5</v>
      </c>
      <c r="R25" s="31">
        <v>4</v>
      </c>
      <c r="S25" s="30">
        <f t="shared" si="1"/>
        <v>779</v>
      </c>
    </row>
    <row r="26" spans="1:19" ht="15">
      <c r="A26" s="26">
        <v>22</v>
      </c>
      <c r="B26" s="52" t="s">
        <v>169</v>
      </c>
      <c r="C26" s="8">
        <v>45</v>
      </c>
      <c r="D26" s="8">
        <v>296</v>
      </c>
      <c r="E26" s="26">
        <v>186</v>
      </c>
      <c r="F26" s="26">
        <v>4</v>
      </c>
      <c r="G26" s="28">
        <f t="shared" si="0"/>
        <v>531</v>
      </c>
      <c r="H26" s="26">
        <v>-100</v>
      </c>
      <c r="I26" s="26">
        <v>0</v>
      </c>
      <c r="J26" s="26">
        <v>0</v>
      </c>
      <c r="K26" s="31">
        <v>0</v>
      </c>
      <c r="L26" s="31">
        <v>0</v>
      </c>
      <c r="M26" s="29">
        <v>5</v>
      </c>
      <c r="N26" s="29">
        <v>0</v>
      </c>
      <c r="O26" s="31">
        <v>0</v>
      </c>
      <c r="P26" s="31">
        <v>0</v>
      </c>
      <c r="Q26" s="29">
        <v>5</v>
      </c>
      <c r="R26" s="31">
        <v>2</v>
      </c>
      <c r="S26" s="30">
        <f t="shared" si="1"/>
        <v>443</v>
      </c>
    </row>
    <row r="27" spans="1:19" ht="15">
      <c r="A27" s="26">
        <v>23</v>
      </c>
      <c r="B27" s="52" t="s">
        <v>170</v>
      </c>
      <c r="C27" s="8">
        <v>645</v>
      </c>
      <c r="D27" s="8">
        <v>108</v>
      </c>
      <c r="E27" s="26">
        <v>12</v>
      </c>
      <c r="F27" s="26">
        <v>2</v>
      </c>
      <c r="G27" s="28">
        <f t="shared" si="0"/>
        <v>767</v>
      </c>
      <c r="H27" s="26">
        <v>0</v>
      </c>
      <c r="I27" s="26">
        <v>0</v>
      </c>
      <c r="J27" s="26">
        <v>0</v>
      </c>
      <c r="K27" s="31">
        <v>0</v>
      </c>
      <c r="L27" s="31">
        <v>10</v>
      </c>
      <c r="M27" s="29">
        <v>20</v>
      </c>
      <c r="N27" s="29">
        <v>3</v>
      </c>
      <c r="O27" s="31">
        <v>0</v>
      </c>
      <c r="P27" s="31">
        <v>0</v>
      </c>
      <c r="Q27" s="29">
        <v>5</v>
      </c>
      <c r="R27" s="31">
        <v>4</v>
      </c>
      <c r="S27" s="30">
        <f t="shared" si="1"/>
        <v>809</v>
      </c>
    </row>
    <row r="28" spans="1:19" ht="15">
      <c r="A28" s="26">
        <v>24</v>
      </c>
      <c r="B28" s="52" t="s">
        <v>171</v>
      </c>
      <c r="C28" s="8">
        <v>685</v>
      </c>
      <c r="D28" s="8">
        <v>88</v>
      </c>
      <c r="E28" s="26">
        <v>6</v>
      </c>
      <c r="F28" s="26">
        <v>0</v>
      </c>
      <c r="G28" s="28">
        <f t="shared" si="0"/>
        <v>779</v>
      </c>
      <c r="H28" s="26">
        <v>0</v>
      </c>
      <c r="I28" s="26">
        <v>0</v>
      </c>
      <c r="J28" s="26">
        <v>0</v>
      </c>
      <c r="K28" s="31">
        <v>30</v>
      </c>
      <c r="L28" s="31">
        <v>10</v>
      </c>
      <c r="M28" s="29">
        <v>30</v>
      </c>
      <c r="N28" s="29">
        <v>3</v>
      </c>
      <c r="O28" s="31">
        <v>0</v>
      </c>
      <c r="P28" s="31">
        <v>0</v>
      </c>
      <c r="Q28" s="29">
        <v>5</v>
      </c>
      <c r="R28" s="31">
        <v>4</v>
      </c>
      <c r="S28" s="30">
        <f t="shared" si="1"/>
        <v>861</v>
      </c>
    </row>
    <row r="29" spans="7:12" ht="15">
      <c r="G29" s="55"/>
      <c r="H29" s="55" t="s">
        <v>20</v>
      </c>
      <c r="I29" s="55"/>
      <c r="J29" s="55"/>
      <c r="K29" s="55" t="s">
        <v>172</v>
      </c>
      <c r="L29" s="55"/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:S26"/>
    </sheetView>
  </sheetViews>
  <sheetFormatPr defaultColWidth="9.140625" defaultRowHeight="15"/>
  <sheetData>
    <row r="1" spans="1:19" ht="15">
      <c r="A1" s="321" t="s">
        <v>173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14433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.75" thickBot="1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26.25" thickBot="1">
      <c r="A5" s="26">
        <v>1</v>
      </c>
      <c r="B5" s="48" t="s">
        <v>174</v>
      </c>
      <c r="C5" s="26">
        <v>715</v>
      </c>
      <c r="D5" s="26">
        <v>120</v>
      </c>
      <c r="E5" s="26">
        <v>6</v>
      </c>
      <c r="F5" s="26">
        <v>0</v>
      </c>
      <c r="G5" s="28">
        <v>851</v>
      </c>
      <c r="H5" s="26">
        <v>-20</v>
      </c>
      <c r="I5" s="26">
        <v>0</v>
      </c>
      <c r="J5" s="26">
        <v>0</v>
      </c>
      <c r="K5" s="29">
        <v>0</v>
      </c>
      <c r="L5" s="29">
        <v>5</v>
      </c>
      <c r="M5" s="29">
        <v>0</v>
      </c>
      <c r="N5" s="29">
        <v>0</v>
      </c>
      <c r="O5" s="29">
        <v>0</v>
      </c>
      <c r="P5" s="29">
        <v>0</v>
      </c>
      <c r="Q5" s="29"/>
      <c r="R5" s="29">
        <v>0</v>
      </c>
      <c r="S5" s="30">
        <v>822</v>
      </c>
    </row>
    <row r="6" spans="1:19" ht="26.25" thickBot="1">
      <c r="A6" s="26">
        <v>2</v>
      </c>
      <c r="B6" s="49" t="s">
        <v>175</v>
      </c>
      <c r="C6" s="26">
        <v>269</v>
      </c>
      <c r="D6" s="26">
        <v>400</v>
      </c>
      <c r="E6" s="26">
        <v>30</v>
      </c>
      <c r="F6" s="26">
        <v>-2</v>
      </c>
      <c r="G6" s="56">
        <v>697</v>
      </c>
      <c r="H6" s="26">
        <v>-10</v>
      </c>
      <c r="I6" s="26">
        <v>0</v>
      </c>
      <c r="J6" s="26">
        <v>0</v>
      </c>
      <c r="K6" s="31">
        <v>0</v>
      </c>
      <c r="L6" s="31">
        <v>5</v>
      </c>
      <c r="M6" s="29">
        <v>0</v>
      </c>
      <c r="N6" s="29">
        <v>0</v>
      </c>
      <c r="O6" s="31">
        <v>0</v>
      </c>
      <c r="P6" s="31">
        <v>0</v>
      </c>
      <c r="Q6" s="29"/>
      <c r="R6" s="31">
        <v>0</v>
      </c>
      <c r="S6" s="30">
        <v>692</v>
      </c>
    </row>
    <row r="7" spans="1:19" ht="26.25" thickBot="1">
      <c r="A7" s="26">
        <v>3</v>
      </c>
      <c r="B7" s="49" t="s">
        <v>176</v>
      </c>
      <c r="C7" s="26">
        <v>283</v>
      </c>
      <c r="D7" s="26">
        <v>424</v>
      </c>
      <c r="E7" s="26">
        <v>108</v>
      </c>
      <c r="F7" s="26">
        <v>-6</v>
      </c>
      <c r="G7" s="28">
        <v>809</v>
      </c>
      <c r="H7" s="26">
        <v>-200</v>
      </c>
      <c r="I7" s="26">
        <v>5</v>
      </c>
      <c r="J7" s="26">
        <v>0</v>
      </c>
      <c r="K7" s="31">
        <v>0</v>
      </c>
      <c r="L7" s="31">
        <v>0</v>
      </c>
      <c r="M7" s="29">
        <v>0</v>
      </c>
      <c r="N7" s="29">
        <v>0</v>
      </c>
      <c r="O7" s="31">
        <v>0</v>
      </c>
      <c r="P7" s="31">
        <v>0</v>
      </c>
      <c r="Q7" s="29"/>
      <c r="R7" s="31">
        <v>0</v>
      </c>
      <c r="S7" s="30">
        <v>609</v>
      </c>
    </row>
    <row r="8" spans="1:19" ht="26.25" thickBot="1">
      <c r="A8" s="26">
        <v>4</v>
      </c>
      <c r="B8" s="49" t="s">
        <v>177</v>
      </c>
      <c r="C8" s="26">
        <v>254</v>
      </c>
      <c r="D8" s="26">
        <v>424</v>
      </c>
      <c r="E8" s="26">
        <v>48</v>
      </c>
      <c r="F8" s="26">
        <v>-2</v>
      </c>
      <c r="G8" s="28">
        <v>723</v>
      </c>
      <c r="H8" s="26">
        <v>-20</v>
      </c>
      <c r="I8" s="26">
        <v>0</v>
      </c>
      <c r="J8" s="26">
        <v>0</v>
      </c>
      <c r="K8" s="31">
        <v>0</v>
      </c>
      <c r="L8" s="31">
        <v>0</v>
      </c>
      <c r="M8" s="29">
        <v>0</v>
      </c>
      <c r="N8" s="29">
        <v>0</v>
      </c>
      <c r="O8" s="31">
        <v>0</v>
      </c>
      <c r="P8" s="31">
        <v>0</v>
      </c>
      <c r="Q8" s="29"/>
      <c r="R8" s="31">
        <v>0</v>
      </c>
      <c r="S8" s="30">
        <v>703</v>
      </c>
    </row>
    <row r="9" spans="1:19" ht="26.25" thickBot="1">
      <c r="A9" s="26">
        <v>5</v>
      </c>
      <c r="B9" s="49" t="s">
        <v>178</v>
      </c>
      <c r="C9" s="26">
        <v>254</v>
      </c>
      <c r="D9" s="26">
        <v>352</v>
      </c>
      <c r="E9" s="26">
        <v>66</v>
      </c>
      <c r="F9" s="26">
        <v>0</v>
      </c>
      <c r="G9" s="28">
        <v>707</v>
      </c>
      <c r="H9" s="26">
        <v>-20</v>
      </c>
      <c r="I9" s="26">
        <v>0</v>
      </c>
      <c r="J9" s="26">
        <v>0</v>
      </c>
      <c r="K9" s="31">
        <v>0</v>
      </c>
      <c r="L9" s="31">
        <v>0</v>
      </c>
      <c r="M9" s="29">
        <v>0</v>
      </c>
      <c r="N9" s="29">
        <v>0</v>
      </c>
      <c r="O9" s="31">
        <v>0</v>
      </c>
      <c r="P9" s="31">
        <v>0</v>
      </c>
      <c r="Q9" s="29"/>
      <c r="R9" s="31">
        <v>0</v>
      </c>
      <c r="S9" s="30">
        <v>681</v>
      </c>
    </row>
    <row r="10" spans="1:19" ht="26.25" thickBot="1">
      <c r="A10" s="26">
        <v>6</v>
      </c>
      <c r="B10" s="49" t="s">
        <v>179</v>
      </c>
      <c r="C10" s="26">
        <v>785</v>
      </c>
      <c r="D10" s="26">
        <v>56</v>
      </c>
      <c r="E10" s="26">
        <v>3</v>
      </c>
      <c r="F10" s="26">
        <v>0</v>
      </c>
      <c r="G10" s="28">
        <v>844</v>
      </c>
      <c r="H10" s="26">
        <v>-30</v>
      </c>
      <c r="I10" s="26">
        <v>0</v>
      </c>
      <c r="J10" s="26">
        <v>0</v>
      </c>
      <c r="K10" s="31">
        <v>0</v>
      </c>
      <c r="L10" s="31">
        <v>5</v>
      </c>
      <c r="M10" s="29">
        <v>0</v>
      </c>
      <c r="N10" s="29">
        <v>0</v>
      </c>
      <c r="O10" s="31">
        <v>0</v>
      </c>
      <c r="P10" s="31">
        <v>0</v>
      </c>
      <c r="Q10" s="29"/>
      <c r="R10" s="31">
        <v>0</v>
      </c>
      <c r="S10" s="30">
        <v>819</v>
      </c>
    </row>
    <row r="11" spans="1:19" ht="26.25" thickBot="1">
      <c r="A11" s="26">
        <v>7</v>
      </c>
      <c r="B11" s="49" t="s">
        <v>180</v>
      </c>
      <c r="C11" s="26">
        <v>223</v>
      </c>
      <c r="D11" s="26">
        <v>380</v>
      </c>
      <c r="E11" s="26">
        <v>87</v>
      </c>
      <c r="F11" s="26">
        <v>0</v>
      </c>
      <c r="G11" s="28">
        <v>680</v>
      </c>
      <c r="H11" s="26">
        <v>-30</v>
      </c>
      <c r="I11" s="26">
        <v>0</v>
      </c>
      <c r="J11" s="26">
        <v>0</v>
      </c>
      <c r="K11" s="31">
        <v>0</v>
      </c>
      <c r="L11" s="31">
        <v>0</v>
      </c>
      <c r="M11" s="29">
        <v>0</v>
      </c>
      <c r="N11" s="29">
        <v>0</v>
      </c>
      <c r="O11" s="31">
        <v>0</v>
      </c>
      <c r="P11" s="31">
        <v>0</v>
      </c>
      <c r="Q11" s="29"/>
      <c r="R11" s="31">
        <v>0</v>
      </c>
      <c r="S11" s="30">
        <v>660</v>
      </c>
    </row>
    <row r="12" spans="1:19" ht="26.25" thickBot="1">
      <c r="A12" s="26">
        <v>8</v>
      </c>
      <c r="B12" s="49" t="s">
        <v>181</v>
      </c>
      <c r="C12" s="26">
        <v>445</v>
      </c>
      <c r="D12" s="26">
        <v>196</v>
      </c>
      <c r="E12" s="26">
        <v>6</v>
      </c>
      <c r="F12" s="26">
        <v>-4</v>
      </c>
      <c r="G12" s="28">
        <v>643</v>
      </c>
      <c r="H12" s="26">
        <v>-20</v>
      </c>
      <c r="I12" s="26">
        <v>0</v>
      </c>
      <c r="J12" s="26">
        <v>0</v>
      </c>
      <c r="K12" s="31">
        <v>0</v>
      </c>
      <c r="L12" s="31">
        <v>0</v>
      </c>
      <c r="M12" s="29">
        <v>0</v>
      </c>
      <c r="N12" s="29">
        <v>0</v>
      </c>
      <c r="O12" s="31">
        <v>0</v>
      </c>
      <c r="P12" s="31">
        <v>0</v>
      </c>
      <c r="Q12" s="29"/>
      <c r="R12" s="31">
        <v>0</v>
      </c>
      <c r="S12" s="30">
        <v>643</v>
      </c>
    </row>
    <row r="13" spans="1:19" ht="26.25" thickBot="1">
      <c r="A13" s="32">
        <v>9</v>
      </c>
      <c r="B13" s="57" t="s">
        <v>182</v>
      </c>
      <c r="C13" s="26">
        <v>330</v>
      </c>
      <c r="D13" s="26">
        <v>176</v>
      </c>
      <c r="E13" s="26">
        <v>30</v>
      </c>
      <c r="F13" s="32">
        <v>-2</v>
      </c>
      <c r="G13" s="28">
        <v>533</v>
      </c>
      <c r="H13" s="32">
        <v>0</v>
      </c>
      <c r="I13" s="32">
        <v>0</v>
      </c>
      <c r="J13" s="32">
        <v>5</v>
      </c>
      <c r="K13" s="34">
        <v>0</v>
      </c>
      <c r="L13" s="34">
        <v>0</v>
      </c>
      <c r="M13" s="32">
        <v>0</v>
      </c>
      <c r="N13" s="32">
        <v>0</v>
      </c>
      <c r="O13" s="34">
        <v>0</v>
      </c>
      <c r="P13" s="34">
        <v>0</v>
      </c>
      <c r="Q13" s="32"/>
      <c r="R13" s="34">
        <v>0</v>
      </c>
      <c r="S13" s="30">
        <v>529</v>
      </c>
    </row>
    <row r="14" spans="1:19" ht="15.75" thickBot="1">
      <c r="A14" s="32">
        <v>10</v>
      </c>
      <c r="B14" s="57" t="s">
        <v>183</v>
      </c>
      <c r="C14" s="26">
        <v>590</v>
      </c>
      <c r="D14" s="26">
        <v>92</v>
      </c>
      <c r="E14" s="26">
        <v>0</v>
      </c>
      <c r="F14" s="32">
        <v>0</v>
      </c>
      <c r="G14" s="28">
        <v>684</v>
      </c>
      <c r="H14" s="32">
        <v>0</v>
      </c>
      <c r="I14" s="32">
        <v>0</v>
      </c>
      <c r="J14" s="32">
        <v>0</v>
      </c>
      <c r="K14" s="34"/>
      <c r="L14" s="34">
        <v>0</v>
      </c>
      <c r="M14" s="32">
        <v>0</v>
      </c>
      <c r="N14" s="32">
        <v>0</v>
      </c>
      <c r="O14" s="34">
        <v>0</v>
      </c>
      <c r="P14" s="34">
        <v>0</v>
      </c>
      <c r="Q14" s="32"/>
      <c r="R14" s="34">
        <v>0</v>
      </c>
      <c r="S14" s="30">
        <v>682</v>
      </c>
    </row>
    <row r="15" spans="1:19" ht="26.25" thickBot="1">
      <c r="A15" s="26">
        <v>11</v>
      </c>
      <c r="B15" s="49" t="s">
        <v>184</v>
      </c>
      <c r="C15" s="26">
        <v>303</v>
      </c>
      <c r="D15" s="26">
        <v>232</v>
      </c>
      <c r="E15" s="26">
        <v>96</v>
      </c>
      <c r="F15" s="26">
        <v>-8</v>
      </c>
      <c r="G15" s="28">
        <v>623</v>
      </c>
      <c r="H15" s="26">
        <v>-40</v>
      </c>
      <c r="I15" s="26">
        <v>0</v>
      </c>
      <c r="J15" s="26">
        <v>0</v>
      </c>
      <c r="K15" s="31">
        <v>0</v>
      </c>
      <c r="L15" s="31">
        <v>0</v>
      </c>
      <c r="M15" s="29">
        <v>0</v>
      </c>
      <c r="N15" s="29">
        <v>0</v>
      </c>
      <c r="O15" s="31">
        <v>0</v>
      </c>
      <c r="P15" s="31">
        <v>0</v>
      </c>
      <c r="Q15" s="29"/>
      <c r="R15" s="31">
        <v>0</v>
      </c>
      <c r="S15" s="30">
        <v>583</v>
      </c>
    </row>
    <row r="16" spans="1:19" ht="26.25" thickBot="1">
      <c r="A16" s="32">
        <v>12</v>
      </c>
      <c r="B16" s="57" t="s">
        <v>185</v>
      </c>
      <c r="C16" s="26">
        <v>304</v>
      </c>
      <c r="D16" s="26">
        <v>236</v>
      </c>
      <c r="E16" s="26">
        <v>42</v>
      </c>
      <c r="F16" s="32">
        <v>-2</v>
      </c>
      <c r="G16" s="28">
        <v>580</v>
      </c>
      <c r="H16" s="32">
        <v>0</v>
      </c>
      <c r="I16" s="32">
        <v>0</v>
      </c>
      <c r="J16" s="32">
        <v>0</v>
      </c>
      <c r="K16" s="34">
        <v>0</v>
      </c>
      <c r="L16" s="34">
        <v>0</v>
      </c>
      <c r="M16" s="32">
        <v>0</v>
      </c>
      <c r="N16" s="32">
        <v>0</v>
      </c>
      <c r="O16" s="34">
        <v>0</v>
      </c>
      <c r="P16" s="34">
        <v>0</v>
      </c>
      <c r="Q16" s="32"/>
      <c r="R16" s="34">
        <v>0</v>
      </c>
      <c r="S16" s="30">
        <v>580</v>
      </c>
    </row>
    <row r="17" spans="1:19" ht="26.25" thickBot="1">
      <c r="A17" s="26">
        <v>13</v>
      </c>
      <c r="B17" s="49" t="s">
        <v>186</v>
      </c>
      <c r="C17" s="26">
        <v>188</v>
      </c>
      <c r="D17" s="26">
        <v>300</v>
      </c>
      <c r="E17" s="26">
        <v>54</v>
      </c>
      <c r="F17" s="26">
        <v>-2</v>
      </c>
      <c r="G17" s="28">
        <v>640</v>
      </c>
      <c r="H17" s="26"/>
      <c r="I17" s="26">
        <v>0</v>
      </c>
      <c r="J17" s="26">
        <v>0</v>
      </c>
      <c r="K17" s="31">
        <v>0</v>
      </c>
      <c r="L17" s="31">
        <v>0</v>
      </c>
      <c r="M17" s="29">
        <v>0</v>
      </c>
      <c r="N17" s="29">
        <v>0</v>
      </c>
      <c r="O17" s="31">
        <v>0</v>
      </c>
      <c r="P17" s="31">
        <v>0</v>
      </c>
      <c r="Q17" s="29"/>
      <c r="R17" s="31">
        <v>0</v>
      </c>
      <c r="S17" s="30">
        <v>579</v>
      </c>
    </row>
    <row r="18" spans="1:19" ht="26.25" thickBot="1">
      <c r="A18" s="26">
        <v>14</v>
      </c>
      <c r="B18" s="49" t="s">
        <v>187</v>
      </c>
      <c r="C18" s="26">
        <v>328</v>
      </c>
      <c r="D18" s="26">
        <v>220</v>
      </c>
      <c r="E18" s="26">
        <v>45</v>
      </c>
      <c r="F18" s="26">
        <v>-8</v>
      </c>
      <c r="G18" s="28">
        <v>575</v>
      </c>
      <c r="H18" s="26">
        <v>-40</v>
      </c>
      <c r="I18" s="26">
        <v>0</v>
      </c>
      <c r="J18" s="26">
        <v>0</v>
      </c>
      <c r="K18" s="31">
        <v>0</v>
      </c>
      <c r="L18" s="31">
        <v>0</v>
      </c>
      <c r="M18" s="29">
        <v>0</v>
      </c>
      <c r="N18" s="29">
        <v>0</v>
      </c>
      <c r="O18" s="31">
        <v>0</v>
      </c>
      <c r="P18" s="31">
        <v>0</v>
      </c>
      <c r="Q18" s="29"/>
      <c r="R18" s="31">
        <v>0</v>
      </c>
      <c r="S18" s="30">
        <v>535</v>
      </c>
    </row>
    <row r="19" spans="1:19" ht="26.25" thickBot="1">
      <c r="A19" s="26">
        <v>15</v>
      </c>
      <c r="B19" s="49" t="s">
        <v>188</v>
      </c>
      <c r="C19" s="26">
        <v>410</v>
      </c>
      <c r="D19" s="26">
        <v>180</v>
      </c>
      <c r="E19" s="26">
        <v>18</v>
      </c>
      <c r="F19" s="26">
        <v>0</v>
      </c>
      <c r="G19" s="28">
        <v>608</v>
      </c>
      <c r="H19" s="26">
        <v>0</v>
      </c>
      <c r="I19" s="26">
        <v>0</v>
      </c>
      <c r="J19" s="26">
        <v>0</v>
      </c>
      <c r="K19" s="31">
        <v>0</v>
      </c>
      <c r="L19" s="31">
        <v>0</v>
      </c>
      <c r="M19" s="29">
        <v>0</v>
      </c>
      <c r="N19" s="29">
        <v>0</v>
      </c>
      <c r="O19" s="31">
        <v>0</v>
      </c>
      <c r="P19" s="31">
        <v>0</v>
      </c>
      <c r="Q19" s="29"/>
      <c r="R19" s="31">
        <v>0</v>
      </c>
      <c r="S19" s="30">
        <v>608</v>
      </c>
    </row>
    <row r="20" spans="1:19" ht="26.25" thickBot="1">
      <c r="A20" s="26">
        <v>16</v>
      </c>
      <c r="B20" s="49" t="s">
        <v>189</v>
      </c>
      <c r="C20" s="26">
        <v>475</v>
      </c>
      <c r="D20" s="26">
        <v>220</v>
      </c>
      <c r="E20" s="26">
        <v>9</v>
      </c>
      <c r="F20" s="26">
        <v>-2</v>
      </c>
      <c r="G20" s="28">
        <v>712</v>
      </c>
      <c r="H20" s="26">
        <v>-30</v>
      </c>
      <c r="I20" s="26">
        <v>0</v>
      </c>
      <c r="J20" s="26">
        <v>0</v>
      </c>
      <c r="K20" s="31"/>
      <c r="L20" s="31">
        <v>0</v>
      </c>
      <c r="M20" s="29">
        <v>0</v>
      </c>
      <c r="N20" s="29">
        <v>0</v>
      </c>
      <c r="O20" s="31">
        <v>0</v>
      </c>
      <c r="P20" s="31">
        <v>0</v>
      </c>
      <c r="Q20" s="29"/>
      <c r="R20" s="31">
        <v>0</v>
      </c>
      <c r="S20" s="30">
        <v>672</v>
      </c>
    </row>
    <row r="21" spans="1:19" ht="26.25" thickBot="1">
      <c r="A21" s="26">
        <v>17</v>
      </c>
      <c r="B21" s="49" t="s">
        <v>190</v>
      </c>
      <c r="C21" s="26">
        <v>258</v>
      </c>
      <c r="D21" s="26">
        <v>240</v>
      </c>
      <c r="E21" s="26">
        <v>75</v>
      </c>
      <c r="F21" s="26">
        <v>-2</v>
      </c>
      <c r="G21" s="28">
        <v>571</v>
      </c>
      <c r="H21" s="26">
        <v>0</v>
      </c>
      <c r="I21" s="26">
        <v>0</v>
      </c>
      <c r="J21" s="26">
        <v>0</v>
      </c>
      <c r="K21" s="31">
        <v>0</v>
      </c>
      <c r="L21" s="31">
        <v>0</v>
      </c>
      <c r="M21" s="29">
        <v>0</v>
      </c>
      <c r="N21" s="29">
        <v>0</v>
      </c>
      <c r="O21" s="31">
        <v>0</v>
      </c>
      <c r="P21" s="31">
        <v>0</v>
      </c>
      <c r="Q21" s="29"/>
      <c r="R21" s="31">
        <v>0</v>
      </c>
      <c r="S21" s="30">
        <v>571</v>
      </c>
    </row>
    <row r="22" spans="1:19" ht="26.25" thickBot="1">
      <c r="A22" s="26">
        <v>18</v>
      </c>
      <c r="B22" s="49" t="s">
        <v>191</v>
      </c>
      <c r="C22" s="26">
        <v>370</v>
      </c>
      <c r="D22" s="26">
        <v>208</v>
      </c>
      <c r="E22" s="26">
        <v>36</v>
      </c>
      <c r="F22" s="26">
        <v>-6</v>
      </c>
      <c r="G22" s="28">
        <v>606</v>
      </c>
      <c r="H22" s="26">
        <v>0</v>
      </c>
      <c r="I22" s="26">
        <v>0</v>
      </c>
      <c r="J22" s="26">
        <v>0</v>
      </c>
      <c r="K22" s="31">
        <v>0</v>
      </c>
      <c r="L22" s="31">
        <v>0</v>
      </c>
      <c r="M22" s="29">
        <v>0</v>
      </c>
      <c r="N22" s="29">
        <v>0</v>
      </c>
      <c r="O22" s="31">
        <v>0</v>
      </c>
      <c r="P22" s="31">
        <v>0</v>
      </c>
      <c r="Q22" s="29"/>
      <c r="R22" s="31">
        <v>0</v>
      </c>
      <c r="S22" s="30">
        <v>602</v>
      </c>
    </row>
    <row r="23" spans="1:19" ht="26.25" thickBot="1">
      <c r="A23" s="26">
        <v>19</v>
      </c>
      <c r="B23" s="49" t="s">
        <v>192</v>
      </c>
      <c r="C23" s="26">
        <v>360</v>
      </c>
      <c r="D23" s="26">
        <v>440</v>
      </c>
      <c r="E23" s="26">
        <v>9</v>
      </c>
      <c r="F23" s="26">
        <v>0</v>
      </c>
      <c r="G23" s="28">
        <v>1009</v>
      </c>
      <c r="H23" s="26">
        <v>-10</v>
      </c>
      <c r="I23" s="26">
        <v>0</v>
      </c>
      <c r="J23" s="26">
        <v>0</v>
      </c>
      <c r="K23" s="31">
        <v>0</v>
      </c>
      <c r="L23" s="31">
        <v>0</v>
      </c>
      <c r="M23" s="29">
        <v>0</v>
      </c>
      <c r="N23" s="29">
        <v>0</v>
      </c>
      <c r="O23" s="31">
        <v>0</v>
      </c>
      <c r="P23" s="31">
        <v>0</v>
      </c>
      <c r="Q23" s="29"/>
      <c r="R23" s="31">
        <v>0</v>
      </c>
      <c r="S23" s="30">
        <v>999</v>
      </c>
    </row>
    <row r="24" spans="1:19" ht="26.25" thickBot="1">
      <c r="A24" s="26">
        <v>20</v>
      </c>
      <c r="B24" s="49" t="s">
        <v>193</v>
      </c>
      <c r="C24" s="26">
        <v>410</v>
      </c>
      <c r="D24" s="26">
        <v>232</v>
      </c>
      <c r="E24" s="26">
        <v>6</v>
      </c>
      <c r="F24" s="26">
        <v>-2</v>
      </c>
      <c r="G24" s="28">
        <v>645</v>
      </c>
      <c r="H24" s="26">
        <v>0</v>
      </c>
      <c r="I24" s="26">
        <v>0</v>
      </c>
      <c r="J24" s="26">
        <v>0</v>
      </c>
      <c r="K24" s="31">
        <v>0</v>
      </c>
      <c r="L24" s="31">
        <v>0</v>
      </c>
      <c r="M24" s="29">
        <v>0</v>
      </c>
      <c r="N24" s="29">
        <v>0</v>
      </c>
      <c r="O24" s="31">
        <v>0</v>
      </c>
      <c r="P24" s="31">
        <v>0</v>
      </c>
      <c r="Q24" s="29"/>
      <c r="R24" s="31">
        <v>0</v>
      </c>
      <c r="S24" s="30">
        <v>645</v>
      </c>
    </row>
    <row r="25" spans="1:19" ht="26.25" thickBot="1">
      <c r="A25" s="26">
        <v>21</v>
      </c>
      <c r="B25" s="49" t="s">
        <v>194</v>
      </c>
      <c r="C25" s="8">
        <v>388</v>
      </c>
      <c r="D25" s="8">
        <v>208</v>
      </c>
      <c r="E25" s="26">
        <v>27</v>
      </c>
      <c r="F25" s="26">
        <v>0</v>
      </c>
      <c r="G25" s="28">
        <v>617</v>
      </c>
      <c r="H25" s="26">
        <v>0</v>
      </c>
      <c r="I25" s="26">
        <v>0</v>
      </c>
      <c r="J25" s="26">
        <v>0</v>
      </c>
      <c r="K25" s="31">
        <v>0</v>
      </c>
      <c r="L25" s="31">
        <v>0</v>
      </c>
      <c r="M25" s="29">
        <v>0</v>
      </c>
      <c r="N25" s="29">
        <v>0</v>
      </c>
      <c r="O25" s="31">
        <v>0</v>
      </c>
      <c r="P25" s="31">
        <v>0</v>
      </c>
      <c r="Q25" s="29"/>
      <c r="R25" s="31">
        <v>0</v>
      </c>
      <c r="S25" s="30">
        <v>617</v>
      </c>
    </row>
    <row r="26" spans="1:19" ht="26.25" thickBot="1">
      <c r="A26" s="26">
        <v>22</v>
      </c>
      <c r="B26" s="49" t="s">
        <v>195</v>
      </c>
      <c r="C26" s="8">
        <v>248</v>
      </c>
      <c r="D26" s="8">
        <v>276</v>
      </c>
      <c r="E26" s="26">
        <v>84</v>
      </c>
      <c r="F26" s="26">
        <v>-6</v>
      </c>
      <c r="G26" s="28">
        <v>602</v>
      </c>
      <c r="H26" s="26">
        <v>0</v>
      </c>
      <c r="I26" s="26">
        <v>0</v>
      </c>
      <c r="J26" s="26">
        <v>0</v>
      </c>
      <c r="K26" s="31">
        <v>0</v>
      </c>
      <c r="L26" s="31">
        <v>0</v>
      </c>
      <c r="M26" s="29">
        <v>0</v>
      </c>
      <c r="N26" s="29">
        <v>0</v>
      </c>
      <c r="O26" s="31">
        <v>0</v>
      </c>
      <c r="P26" s="31">
        <v>0</v>
      </c>
      <c r="Q26" s="29"/>
      <c r="R26" s="31">
        <v>0</v>
      </c>
      <c r="S26" s="30">
        <v>602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S24"/>
    </sheetView>
  </sheetViews>
  <sheetFormatPr defaultColWidth="9.140625" defaultRowHeight="15"/>
  <sheetData>
    <row r="1" spans="1:19" ht="18.75">
      <c r="A1" s="325" t="s">
        <v>196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15">
      <c r="A2" s="58"/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1" t="s">
        <v>0</v>
      </c>
      <c r="Q2" s="61"/>
      <c r="R2" s="61"/>
      <c r="S2" s="61">
        <f>SUM(S5:S34)</f>
        <v>16892</v>
      </c>
    </row>
    <row r="3" spans="1:19" ht="76.5">
      <c r="A3" s="327" t="s">
        <v>1</v>
      </c>
      <c r="B3" s="327" t="s">
        <v>2</v>
      </c>
      <c r="C3" s="329" t="s">
        <v>7</v>
      </c>
      <c r="D3" s="329" t="s">
        <v>8</v>
      </c>
      <c r="E3" s="329" t="s">
        <v>9</v>
      </c>
      <c r="F3" s="329" t="s">
        <v>10</v>
      </c>
      <c r="G3" s="330" t="s">
        <v>19</v>
      </c>
      <c r="H3" s="329" t="s">
        <v>11</v>
      </c>
      <c r="I3" s="329" t="s">
        <v>4</v>
      </c>
      <c r="J3" s="329" t="s">
        <v>12</v>
      </c>
      <c r="K3" s="329" t="s">
        <v>13</v>
      </c>
      <c r="L3" s="329" t="s">
        <v>14</v>
      </c>
      <c r="M3" s="329" t="s">
        <v>15</v>
      </c>
      <c r="N3" s="329" t="s">
        <v>16</v>
      </c>
      <c r="O3" s="329" t="s">
        <v>17</v>
      </c>
      <c r="P3" s="329" t="s">
        <v>5</v>
      </c>
      <c r="Q3" s="62" t="s">
        <v>18</v>
      </c>
      <c r="R3" s="329" t="s">
        <v>6</v>
      </c>
      <c r="S3" s="331" t="s">
        <v>3</v>
      </c>
    </row>
    <row r="4" spans="1:19" ht="1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63"/>
      <c r="R4" s="328"/>
      <c r="S4" s="328"/>
    </row>
    <row r="5" spans="1:19" ht="15">
      <c r="A5" s="64">
        <v>1</v>
      </c>
      <c r="B5" s="59" t="s">
        <v>197</v>
      </c>
      <c r="C5" s="64">
        <v>315</v>
      </c>
      <c r="D5" s="64">
        <v>384</v>
      </c>
      <c r="E5" s="64">
        <v>51</v>
      </c>
      <c r="F5" s="64">
        <v>-2</v>
      </c>
      <c r="G5" s="65">
        <v>750</v>
      </c>
      <c r="H5" s="64">
        <v>-10</v>
      </c>
      <c r="I5" s="64">
        <v>0</v>
      </c>
      <c r="J5" s="64">
        <v>0</v>
      </c>
      <c r="K5" s="64">
        <v>20</v>
      </c>
      <c r="L5" s="64">
        <v>0</v>
      </c>
      <c r="M5" s="64">
        <v>5</v>
      </c>
      <c r="N5" s="64">
        <v>5</v>
      </c>
      <c r="O5" s="64">
        <v>0</v>
      </c>
      <c r="P5" s="64">
        <v>0</v>
      </c>
      <c r="Q5" s="64">
        <v>10</v>
      </c>
      <c r="R5" s="64">
        <v>0</v>
      </c>
      <c r="S5" s="66">
        <v>780</v>
      </c>
    </row>
    <row r="6" spans="1:19" ht="15">
      <c r="A6" s="64">
        <v>2</v>
      </c>
      <c r="B6" s="59" t="s">
        <v>198</v>
      </c>
      <c r="C6" s="64">
        <v>160</v>
      </c>
      <c r="D6" s="64">
        <v>484</v>
      </c>
      <c r="E6" s="64">
        <v>111</v>
      </c>
      <c r="F6" s="64">
        <v>-2</v>
      </c>
      <c r="G6" s="65">
        <v>755</v>
      </c>
      <c r="H6" s="64">
        <v>-80</v>
      </c>
      <c r="I6" s="64">
        <v>0</v>
      </c>
      <c r="J6" s="64">
        <v>0</v>
      </c>
      <c r="K6" s="67">
        <v>20</v>
      </c>
      <c r="L6" s="67">
        <v>0</v>
      </c>
      <c r="M6" s="64">
        <v>5</v>
      </c>
      <c r="N6" s="64">
        <v>5</v>
      </c>
      <c r="O6" s="67">
        <v>0</v>
      </c>
      <c r="P6" s="67">
        <v>0</v>
      </c>
      <c r="Q6" s="64">
        <v>10</v>
      </c>
      <c r="R6" s="67">
        <v>0</v>
      </c>
      <c r="S6" s="66">
        <v>715</v>
      </c>
    </row>
    <row r="7" spans="1:19" ht="15">
      <c r="A7" s="64">
        <v>3</v>
      </c>
      <c r="B7" s="59" t="s">
        <v>199</v>
      </c>
      <c r="C7" s="64">
        <v>315</v>
      </c>
      <c r="D7" s="64">
        <v>420</v>
      </c>
      <c r="E7" s="64">
        <v>96</v>
      </c>
      <c r="F7" s="64">
        <v>-4</v>
      </c>
      <c r="G7" s="65">
        <v>835</v>
      </c>
      <c r="H7" s="64">
        <v>-140</v>
      </c>
      <c r="I7" s="64">
        <v>0</v>
      </c>
      <c r="J7" s="64">
        <v>0</v>
      </c>
      <c r="K7" s="67">
        <v>20</v>
      </c>
      <c r="L7" s="67">
        <v>0</v>
      </c>
      <c r="M7" s="64">
        <v>5</v>
      </c>
      <c r="N7" s="64">
        <v>5</v>
      </c>
      <c r="O7" s="67">
        <v>0</v>
      </c>
      <c r="P7" s="67">
        <v>0</v>
      </c>
      <c r="Q7" s="64">
        <v>10</v>
      </c>
      <c r="R7" s="67">
        <v>0</v>
      </c>
      <c r="S7" s="66">
        <v>735</v>
      </c>
    </row>
    <row r="8" spans="1:19" ht="15">
      <c r="A8" s="64">
        <v>4</v>
      </c>
      <c r="B8" s="59" t="s">
        <v>200</v>
      </c>
      <c r="C8" s="64">
        <v>435</v>
      </c>
      <c r="D8" s="64">
        <v>348</v>
      </c>
      <c r="E8" s="64">
        <v>48</v>
      </c>
      <c r="F8" s="64">
        <v>0</v>
      </c>
      <c r="G8" s="65">
        <v>831</v>
      </c>
      <c r="H8" s="64">
        <v>-40</v>
      </c>
      <c r="I8" s="64">
        <v>0</v>
      </c>
      <c r="J8" s="64">
        <v>0</v>
      </c>
      <c r="K8" s="67">
        <v>35</v>
      </c>
      <c r="L8" s="67">
        <v>5</v>
      </c>
      <c r="M8" s="64">
        <v>5</v>
      </c>
      <c r="N8" s="64">
        <v>5</v>
      </c>
      <c r="O8" s="67">
        <v>0</v>
      </c>
      <c r="P8" s="67">
        <v>5</v>
      </c>
      <c r="Q8" s="64">
        <v>10</v>
      </c>
      <c r="R8" s="67">
        <v>0</v>
      </c>
      <c r="S8" s="66">
        <v>856</v>
      </c>
    </row>
    <row r="9" spans="1:19" ht="15">
      <c r="A9" s="64">
        <v>5</v>
      </c>
      <c r="B9" s="59" t="s">
        <v>201</v>
      </c>
      <c r="C9" s="64">
        <v>420</v>
      </c>
      <c r="D9" s="64">
        <v>324</v>
      </c>
      <c r="E9" s="64">
        <v>36</v>
      </c>
      <c r="F9" s="64">
        <v>0</v>
      </c>
      <c r="G9" s="65">
        <v>780</v>
      </c>
      <c r="H9" s="64">
        <v>-60</v>
      </c>
      <c r="I9" s="64">
        <v>0</v>
      </c>
      <c r="J9" s="64">
        <v>0</v>
      </c>
      <c r="K9" s="67">
        <v>20</v>
      </c>
      <c r="L9" s="67">
        <v>0</v>
      </c>
      <c r="M9" s="64">
        <v>5</v>
      </c>
      <c r="N9" s="64">
        <v>5</v>
      </c>
      <c r="O9" s="67">
        <v>0</v>
      </c>
      <c r="P9" s="67">
        <v>0</v>
      </c>
      <c r="Q9" s="64">
        <v>10</v>
      </c>
      <c r="R9" s="67">
        <v>0</v>
      </c>
      <c r="S9" s="66">
        <v>760</v>
      </c>
    </row>
    <row r="10" spans="1:19" ht="15">
      <c r="A10" s="64">
        <v>6</v>
      </c>
      <c r="B10" s="59" t="s">
        <v>202</v>
      </c>
      <c r="C10" s="64">
        <v>100</v>
      </c>
      <c r="D10" s="64">
        <v>368</v>
      </c>
      <c r="E10" s="64">
        <v>204</v>
      </c>
      <c r="F10" s="64">
        <v>-6</v>
      </c>
      <c r="G10" s="65">
        <v>678</v>
      </c>
      <c r="H10" s="64">
        <v>-200</v>
      </c>
      <c r="I10" s="64">
        <v>0</v>
      </c>
      <c r="J10" s="64">
        <v>0</v>
      </c>
      <c r="K10" s="67">
        <v>20</v>
      </c>
      <c r="L10" s="67">
        <v>0</v>
      </c>
      <c r="M10" s="64">
        <v>5</v>
      </c>
      <c r="N10" s="64">
        <v>5</v>
      </c>
      <c r="O10" s="67">
        <v>0</v>
      </c>
      <c r="P10" s="67">
        <v>0</v>
      </c>
      <c r="Q10" s="64">
        <v>10</v>
      </c>
      <c r="R10" s="67">
        <v>0</v>
      </c>
      <c r="S10" s="66">
        <v>518</v>
      </c>
    </row>
    <row r="11" spans="1:19" ht="15">
      <c r="A11" s="64">
        <v>7</v>
      </c>
      <c r="B11" s="59" t="s">
        <v>203</v>
      </c>
      <c r="C11" s="64">
        <v>470</v>
      </c>
      <c r="D11" s="64">
        <v>304</v>
      </c>
      <c r="E11" s="64">
        <v>18</v>
      </c>
      <c r="F11" s="64">
        <v>0</v>
      </c>
      <c r="G11" s="65">
        <v>792</v>
      </c>
      <c r="H11" s="64">
        <v>-80</v>
      </c>
      <c r="I11" s="64">
        <v>0</v>
      </c>
      <c r="J11" s="64">
        <v>0</v>
      </c>
      <c r="K11" s="67">
        <v>20</v>
      </c>
      <c r="L11" s="67">
        <v>0</v>
      </c>
      <c r="M11" s="64">
        <v>5</v>
      </c>
      <c r="N11" s="64">
        <v>5</v>
      </c>
      <c r="O11" s="67">
        <v>0</v>
      </c>
      <c r="P11" s="67">
        <v>0</v>
      </c>
      <c r="Q11" s="64">
        <v>10</v>
      </c>
      <c r="R11" s="67">
        <v>0</v>
      </c>
      <c r="S11" s="66">
        <v>752</v>
      </c>
    </row>
    <row r="12" spans="1:19" ht="15">
      <c r="A12" s="64">
        <v>8</v>
      </c>
      <c r="B12" s="59" t="s">
        <v>204</v>
      </c>
      <c r="C12" s="64">
        <v>260</v>
      </c>
      <c r="D12" s="64">
        <v>468</v>
      </c>
      <c r="E12" s="64">
        <v>54</v>
      </c>
      <c r="F12" s="64">
        <v>-2</v>
      </c>
      <c r="G12" s="65">
        <v>784</v>
      </c>
      <c r="H12" s="64">
        <v>-100</v>
      </c>
      <c r="I12" s="64">
        <v>0</v>
      </c>
      <c r="J12" s="64">
        <v>0</v>
      </c>
      <c r="K12" s="67">
        <v>20</v>
      </c>
      <c r="L12" s="67">
        <v>0</v>
      </c>
      <c r="M12" s="64">
        <v>5</v>
      </c>
      <c r="N12" s="64">
        <v>8</v>
      </c>
      <c r="O12" s="67">
        <v>0</v>
      </c>
      <c r="P12" s="67">
        <v>0</v>
      </c>
      <c r="Q12" s="64">
        <v>10</v>
      </c>
      <c r="R12" s="67">
        <v>0</v>
      </c>
      <c r="S12" s="66">
        <v>727</v>
      </c>
    </row>
    <row r="13" spans="1:19" ht="15">
      <c r="A13" s="68">
        <v>9</v>
      </c>
      <c r="B13" s="59" t="s">
        <v>205</v>
      </c>
      <c r="C13" s="64">
        <v>655</v>
      </c>
      <c r="D13" s="64">
        <v>256</v>
      </c>
      <c r="E13" s="64">
        <v>6</v>
      </c>
      <c r="F13" s="68">
        <v>0</v>
      </c>
      <c r="G13" s="65">
        <v>917</v>
      </c>
      <c r="H13" s="68">
        <v>-50</v>
      </c>
      <c r="I13" s="68">
        <v>0</v>
      </c>
      <c r="J13" s="68">
        <v>0</v>
      </c>
      <c r="K13" s="69">
        <v>35</v>
      </c>
      <c r="L13" s="69">
        <v>0</v>
      </c>
      <c r="M13" s="68">
        <v>5</v>
      </c>
      <c r="N13" s="68">
        <v>8</v>
      </c>
      <c r="O13" s="69">
        <v>0</v>
      </c>
      <c r="P13" s="69">
        <v>0</v>
      </c>
      <c r="Q13" s="68">
        <v>10</v>
      </c>
      <c r="R13" s="69">
        <v>0</v>
      </c>
      <c r="S13" s="66">
        <v>925</v>
      </c>
    </row>
    <row r="14" spans="1:19" ht="15">
      <c r="A14" s="68">
        <v>10</v>
      </c>
      <c r="B14" s="59" t="s">
        <v>206</v>
      </c>
      <c r="C14" s="64">
        <v>500</v>
      </c>
      <c r="D14" s="64">
        <v>288</v>
      </c>
      <c r="E14" s="64">
        <v>66</v>
      </c>
      <c r="F14" s="68">
        <v>-4</v>
      </c>
      <c r="G14" s="65">
        <v>858</v>
      </c>
      <c r="H14" s="68">
        <v>-50</v>
      </c>
      <c r="I14" s="68">
        <v>0</v>
      </c>
      <c r="J14" s="68">
        <v>0</v>
      </c>
      <c r="K14" s="69">
        <v>20</v>
      </c>
      <c r="L14" s="69">
        <v>0</v>
      </c>
      <c r="M14" s="68">
        <v>5</v>
      </c>
      <c r="N14" s="68">
        <v>5</v>
      </c>
      <c r="O14" s="69">
        <v>0</v>
      </c>
      <c r="P14" s="69">
        <v>0</v>
      </c>
      <c r="Q14" s="68">
        <v>10</v>
      </c>
      <c r="R14" s="69">
        <v>0</v>
      </c>
      <c r="S14" s="66">
        <v>848</v>
      </c>
    </row>
    <row r="15" spans="1:19" ht="15">
      <c r="A15" s="64">
        <v>11</v>
      </c>
      <c r="B15" s="59" t="s">
        <v>207</v>
      </c>
      <c r="C15" s="64">
        <v>445</v>
      </c>
      <c r="D15" s="64">
        <v>416</v>
      </c>
      <c r="E15" s="64">
        <v>36</v>
      </c>
      <c r="F15" s="64">
        <v>-2</v>
      </c>
      <c r="G15" s="65">
        <v>899</v>
      </c>
      <c r="H15" s="64">
        <v>-10</v>
      </c>
      <c r="I15" s="64">
        <v>0</v>
      </c>
      <c r="J15" s="64">
        <v>0</v>
      </c>
      <c r="K15" s="67">
        <v>20</v>
      </c>
      <c r="L15" s="67">
        <v>0</v>
      </c>
      <c r="M15" s="64">
        <v>5</v>
      </c>
      <c r="N15" s="64">
        <v>5</v>
      </c>
      <c r="O15" s="67">
        <v>0</v>
      </c>
      <c r="P15" s="67">
        <v>0</v>
      </c>
      <c r="Q15" s="64">
        <v>10</v>
      </c>
      <c r="R15" s="67">
        <v>0</v>
      </c>
      <c r="S15" s="66">
        <v>929</v>
      </c>
    </row>
    <row r="16" spans="1:19" ht="15">
      <c r="A16" s="68">
        <v>12</v>
      </c>
      <c r="B16" s="59" t="s">
        <v>208</v>
      </c>
      <c r="C16" s="64">
        <v>355</v>
      </c>
      <c r="D16" s="64">
        <v>444</v>
      </c>
      <c r="E16" s="64">
        <v>39</v>
      </c>
      <c r="F16" s="68">
        <v>-2</v>
      </c>
      <c r="G16" s="65">
        <v>840</v>
      </c>
      <c r="H16" s="68">
        <v>-100</v>
      </c>
      <c r="I16" s="68">
        <v>0</v>
      </c>
      <c r="J16" s="68">
        <v>0</v>
      </c>
      <c r="K16" s="69">
        <v>20</v>
      </c>
      <c r="L16" s="69">
        <v>0</v>
      </c>
      <c r="M16" s="68">
        <v>5</v>
      </c>
      <c r="N16" s="68">
        <v>8</v>
      </c>
      <c r="O16" s="69">
        <v>0</v>
      </c>
      <c r="P16" s="69">
        <v>0</v>
      </c>
      <c r="Q16" s="68">
        <v>10</v>
      </c>
      <c r="R16" s="69">
        <v>0</v>
      </c>
      <c r="S16" s="66">
        <v>783</v>
      </c>
    </row>
    <row r="17" spans="1:19" ht="15">
      <c r="A17" s="64">
        <v>13</v>
      </c>
      <c r="B17" s="59" t="s">
        <v>209</v>
      </c>
      <c r="C17" s="64">
        <v>520</v>
      </c>
      <c r="D17" s="64">
        <v>356</v>
      </c>
      <c r="E17" s="64">
        <v>27</v>
      </c>
      <c r="F17" s="64">
        <v>0</v>
      </c>
      <c r="G17" s="65">
        <v>903</v>
      </c>
      <c r="H17" s="64">
        <v>-60</v>
      </c>
      <c r="I17" s="64">
        <v>0</v>
      </c>
      <c r="J17" s="64">
        <v>0</v>
      </c>
      <c r="K17" s="67">
        <v>20</v>
      </c>
      <c r="L17" s="67">
        <v>0</v>
      </c>
      <c r="M17" s="64">
        <v>5</v>
      </c>
      <c r="N17" s="64">
        <v>5</v>
      </c>
      <c r="O17" s="67">
        <v>0</v>
      </c>
      <c r="P17" s="67">
        <v>0</v>
      </c>
      <c r="Q17" s="64">
        <v>10</v>
      </c>
      <c r="R17" s="67">
        <v>0</v>
      </c>
      <c r="S17" s="66">
        <v>883</v>
      </c>
    </row>
    <row r="18" spans="1:19" ht="15">
      <c r="A18" s="64">
        <v>14</v>
      </c>
      <c r="B18" s="59" t="s">
        <v>210</v>
      </c>
      <c r="C18" s="64">
        <v>680</v>
      </c>
      <c r="D18" s="64">
        <v>284</v>
      </c>
      <c r="E18" s="64">
        <v>21</v>
      </c>
      <c r="F18" s="64">
        <v>-2</v>
      </c>
      <c r="G18" s="65">
        <v>987</v>
      </c>
      <c r="H18" s="64">
        <v>-10</v>
      </c>
      <c r="I18" s="64">
        <v>0</v>
      </c>
      <c r="J18" s="64">
        <v>0</v>
      </c>
      <c r="K18" s="67">
        <v>20</v>
      </c>
      <c r="L18" s="67">
        <v>5</v>
      </c>
      <c r="M18" s="64">
        <v>5</v>
      </c>
      <c r="N18" s="64">
        <v>8</v>
      </c>
      <c r="O18" s="67">
        <v>0</v>
      </c>
      <c r="P18" s="67">
        <v>5</v>
      </c>
      <c r="Q18" s="64">
        <v>10</v>
      </c>
      <c r="R18" s="67">
        <v>0</v>
      </c>
      <c r="S18" s="66">
        <v>1030</v>
      </c>
    </row>
    <row r="19" spans="1:19" ht="15">
      <c r="A19" s="64">
        <v>15</v>
      </c>
      <c r="B19" s="59" t="s">
        <v>211</v>
      </c>
      <c r="C19" s="64">
        <v>660</v>
      </c>
      <c r="D19" s="64">
        <v>272</v>
      </c>
      <c r="E19" s="64">
        <v>9</v>
      </c>
      <c r="F19" s="64">
        <v>0</v>
      </c>
      <c r="G19" s="65">
        <v>941</v>
      </c>
      <c r="H19" s="64">
        <v>-10</v>
      </c>
      <c r="I19" s="64">
        <v>0</v>
      </c>
      <c r="J19" s="64">
        <v>0</v>
      </c>
      <c r="K19" s="67">
        <v>20</v>
      </c>
      <c r="L19" s="67">
        <v>0</v>
      </c>
      <c r="M19" s="64">
        <v>5</v>
      </c>
      <c r="N19" s="64">
        <v>8</v>
      </c>
      <c r="O19" s="67">
        <v>0</v>
      </c>
      <c r="P19" s="67">
        <v>5</v>
      </c>
      <c r="Q19" s="64">
        <v>10</v>
      </c>
      <c r="R19" s="67">
        <v>0</v>
      </c>
      <c r="S19" s="66">
        <v>979</v>
      </c>
    </row>
    <row r="20" spans="1:19" ht="15">
      <c r="A20" s="64">
        <v>16</v>
      </c>
      <c r="B20" s="59" t="s">
        <v>212</v>
      </c>
      <c r="C20" s="64">
        <v>315</v>
      </c>
      <c r="D20" s="64">
        <v>416</v>
      </c>
      <c r="E20" s="64">
        <v>126</v>
      </c>
      <c r="F20" s="64">
        <v>-2</v>
      </c>
      <c r="G20" s="65">
        <v>859</v>
      </c>
      <c r="H20" s="64">
        <v>-20</v>
      </c>
      <c r="I20" s="64">
        <v>0</v>
      </c>
      <c r="J20" s="64">
        <v>0</v>
      </c>
      <c r="K20" s="67">
        <v>20</v>
      </c>
      <c r="L20" s="67">
        <v>0</v>
      </c>
      <c r="M20" s="64">
        <v>5</v>
      </c>
      <c r="N20" s="64">
        <v>5</v>
      </c>
      <c r="O20" s="67">
        <v>0</v>
      </c>
      <c r="P20" s="67">
        <v>5</v>
      </c>
      <c r="Q20" s="64">
        <v>10</v>
      </c>
      <c r="R20" s="67">
        <v>0</v>
      </c>
      <c r="S20" s="66">
        <v>884</v>
      </c>
    </row>
    <row r="21" spans="1:19" ht="15">
      <c r="A21" s="64">
        <v>17</v>
      </c>
      <c r="B21" s="59" t="s">
        <v>213</v>
      </c>
      <c r="C21" s="64">
        <v>415</v>
      </c>
      <c r="D21" s="64">
        <v>348</v>
      </c>
      <c r="E21" s="64">
        <v>66</v>
      </c>
      <c r="F21" s="64">
        <v>-6</v>
      </c>
      <c r="G21" s="65">
        <v>835</v>
      </c>
      <c r="H21" s="64">
        <v>-40</v>
      </c>
      <c r="I21" s="64">
        <v>0</v>
      </c>
      <c r="J21" s="64">
        <v>0</v>
      </c>
      <c r="K21" s="67">
        <v>20</v>
      </c>
      <c r="L21" s="67">
        <v>0</v>
      </c>
      <c r="M21" s="64">
        <v>5</v>
      </c>
      <c r="N21" s="64">
        <v>5</v>
      </c>
      <c r="O21" s="67">
        <v>0</v>
      </c>
      <c r="P21" s="67">
        <v>0</v>
      </c>
      <c r="Q21" s="64">
        <v>10</v>
      </c>
      <c r="R21" s="67">
        <v>0</v>
      </c>
      <c r="S21" s="66">
        <v>835</v>
      </c>
    </row>
    <row r="22" spans="1:19" ht="15">
      <c r="A22" s="64">
        <v>18</v>
      </c>
      <c r="B22" s="59" t="s">
        <v>214</v>
      </c>
      <c r="C22" s="64">
        <v>815</v>
      </c>
      <c r="D22" s="64">
        <v>160</v>
      </c>
      <c r="E22" s="64">
        <v>9</v>
      </c>
      <c r="F22" s="64">
        <v>0</v>
      </c>
      <c r="G22" s="65">
        <v>984</v>
      </c>
      <c r="H22" s="64">
        <v>0</v>
      </c>
      <c r="I22" s="64">
        <v>5</v>
      </c>
      <c r="J22" s="64">
        <v>0</v>
      </c>
      <c r="K22" s="67">
        <v>35</v>
      </c>
      <c r="L22" s="67">
        <v>5</v>
      </c>
      <c r="M22" s="64">
        <v>5</v>
      </c>
      <c r="N22" s="64">
        <v>8</v>
      </c>
      <c r="O22" s="67">
        <v>0</v>
      </c>
      <c r="P22" s="67">
        <v>5</v>
      </c>
      <c r="Q22" s="64">
        <v>10</v>
      </c>
      <c r="R22" s="67">
        <v>0</v>
      </c>
      <c r="S22" s="66">
        <v>1057</v>
      </c>
    </row>
    <row r="23" spans="1:19" ht="15">
      <c r="A23" s="64">
        <v>19</v>
      </c>
      <c r="B23" s="59" t="s">
        <v>215</v>
      </c>
      <c r="C23" s="64">
        <v>585</v>
      </c>
      <c r="D23" s="64">
        <v>312</v>
      </c>
      <c r="E23" s="64">
        <v>48</v>
      </c>
      <c r="F23" s="64">
        <v>0</v>
      </c>
      <c r="G23" s="65">
        <v>945</v>
      </c>
      <c r="H23" s="64">
        <v>0</v>
      </c>
      <c r="I23" s="64">
        <v>0</v>
      </c>
      <c r="J23" s="64">
        <v>0</v>
      </c>
      <c r="K23" s="67">
        <v>20</v>
      </c>
      <c r="L23" s="67">
        <v>0</v>
      </c>
      <c r="M23" s="64">
        <v>5</v>
      </c>
      <c r="N23" s="64">
        <v>5</v>
      </c>
      <c r="O23" s="67">
        <v>0</v>
      </c>
      <c r="P23" s="67">
        <v>5</v>
      </c>
      <c r="Q23" s="64">
        <v>10</v>
      </c>
      <c r="R23" s="67">
        <v>0</v>
      </c>
      <c r="S23" s="66">
        <v>990</v>
      </c>
    </row>
    <row r="24" spans="1:19" ht="15">
      <c r="A24" s="64">
        <v>20</v>
      </c>
      <c r="B24" s="59" t="s">
        <v>216</v>
      </c>
      <c r="C24" s="64">
        <v>570</v>
      </c>
      <c r="D24" s="64">
        <v>328</v>
      </c>
      <c r="E24" s="64">
        <v>18</v>
      </c>
      <c r="F24" s="64">
        <v>0</v>
      </c>
      <c r="G24" s="65">
        <v>916</v>
      </c>
      <c r="H24" s="64">
        <v>-50</v>
      </c>
      <c r="I24" s="64">
        <v>0</v>
      </c>
      <c r="J24" s="64">
        <v>0</v>
      </c>
      <c r="K24" s="67">
        <v>20</v>
      </c>
      <c r="L24" s="67">
        <v>0</v>
      </c>
      <c r="M24" s="64">
        <v>5</v>
      </c>
      <c r="N24" s="64">
        <v>5</v>
      </c>
      <c r="O24" s="67">
        <v>0</v>
      </c>
      <c r="P24" s="67">
        <v>0</v>
      </c>
      <c r="Q24" s="64">
        <v>10</v>
      </c>
      <c r="R24" s="67">
        <v>0</v>
      </c>
      <c r="S24" s="66">
        <v>906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S29"/>
    </sheetView>
  </sheetViews>
  <sheetFormatPr defaultColWidth="9.140625" defaultRowHeight="15"/>
  <sheetData>
    <row r="1" spans="1:19" ht="18.75">
      <c r="A1" s="303" t="s">
        <v>217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5">
      <c r="A2" s="20"/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3" t="s">
        <v>0</v>
      </c>
      <c r="Q2" s="23"/>
      <c r="R2" s="23"/>
      <c r="S2" s="23">
        <f>SUM(S5:S34)</f>
        <v>14828</v>
      </c>
    </row>
    <row r="3" spans="1:19" ht="76.5">
      <c r="A3" s="305" t="s">
        <v>1</v>
      </c>
      <c r="B3" s="305" t="s">
        <v>2</v>
      </c>
      <c r="C3" s="306" t="s">
        <v>7</v>
      </c>
      <c r="D3" s="306" t="s">
        <v>8</v>
      </c>
      <c r="E3" s="306" t="s">
        <v>9</v>
      </c>
      <c r="F3" s="306" t="s">
        <v>10</v>
      </c>
      <c r="G3" s="308" t="s">
        <v>19</v>
      </c>
      <c r="H3" s="306" t="s">
        <v>11</v>
      </c>
      <c r="I3" s="306" t="s">
        <v>4</v>
      </c>
      <c r="J3" s="306" t="s">
        <v>12</v>
      </c>
      <c r="K3" s="306" t="s">
        <v>13</v>
      </c>
      <c r="L3" s="306" t="s">
        <v>14</v>
      </c>
      <c r="M3" s="306" t="s">
        <v>15</v>
      </c>
      <c r="N3" s="306" t="s">
        <v>16</v>
      </c>
      <c r="O3" s="306" t="s">
        <v>17</v>
      </c>
      <c r="P3" s="306" t="s">
        <v>5</v>
      </c>
      <c r="Q3" s="24" t="s">
        <v>18</v>
      </c>
      <c r="R3" s="306" t="s">
        <v>6</v>
      </c>
      <c r="S3" s="310" t="s">
        <v>3</v>
      </c>
    </row>
    <row r="4" spans="1:19" ht="15">
      <c r="A4" s="305"/>
      <c r="B4" s="305"/>
      <c r="C4" s="307"/>
      <c r="D4" s="307"/>
      <c r="E4" s="307"/>
      <c r="F4" s="307"/>
      <c r="G4" s="309"/>
      <c r="H4" s="307"/>
      <c r="I4" s="307"/>
      <c r="J4" s="307"/>
      <c r="K4" s="307"/>
      <c r="L4" s="307"/>
      <c r="M4" s="307"/>
      <c r="N4" s="307"/>
      <c r="O4" s="307"/>
      <c r="P4" s="307"/>
      <c r="Q4" s="25"/>
      <c r="R4" s="307"/>
      <c r="S4" s="310"/>
    </row>
    <row r="5" spans="1:19" ht="15">
      <c r="A5" s="26">
        <v>1</v>
      </c>
      <c r="B5" s="27" t="s">
        <v>218</v>
      </c>
      <c r="C5" s="26">
        <f>86*5</f>
        <v>430</v>
      </c>
      <c r="D5" s="26">
        <f>57*4</f>
        <v>228</v>
      </c>
      <c r="E5" s="26">
        <f>3*2</f>
        <v>6</v>
      </c>
      <c r="F5" s="26"/>
      <c r="G5" s="28"/>
      <c r="H5" s="26"/>
      <c r="I5" s="26"/>
      <c r="J5" s="26"/>
      <c r="K5" s="29"/>
      <c r="L5" s="29">
        <v>5</v>
      </c>
      <c r="M5" s="29"/>
      <c r="N5" s="29">
        <v>3</v>
      </c>
      <c r="O5" s="29"/>
      <c r="P5" s="29"/>
      <c r="Q5" s="29">
        <v>5</v>
      </c>
      <c r="R5" s="29">
        <v>2</v>
      </c>
      <c r="S5" s="30">
        <f aca="true" t="shared" si="0" ref="S5:S29">SUM(C5:R5)</f>
        <v>679</v>
      </c>
    </row>
    <row r="6" spans="1:19" ht="15">
      <c r="A6" s="26">
        <v>2</v>
      </c>
      <c r="B6" s="27" t="s">
        <v>219</v>
      </c>
      <c r="C6" s="26">
        <f>28*5</f>
        <v>140</v>
      </c>
      <c r="D6" s="26">
        <f>63*4</f>
        <v>252</v>
      </c>
      <c r="E6" s="26">
        <f>45*3</f>
        <v>135</v>
      </c>
      <c r="F6" s="26"/>
      <c r="G6" s="28"/>
      <c r="H6" s="26">
        <v>-40</v>
      </c>
      <c r="I6" s="26"/>
      <c r="J6" s="26"/>
      <c r="K6" s="31"/>
      <c r="L6" s="31">
        <v>5</v>
      </c>
      <c r="M6" s="29">
        <v>5</v>
      </c>
      <c r="N6" s="29"/>
      <c r="O6" s="31"/>
      <c r="P6" s="31"/>
      <c r="Q6" s="29">
        <v>5</v>
      </c>
      <c r="R6" s="31">
        <v>2</v>
      </c>
      <c r="S6" s="30">
        <f t="shared" si="0"/>
        <v>504</v>
      </c>
    </row>
    <row r="7" spans="1:19" ht="15">
      <c r="A7" s="26">
        <v>3</v>
      </c>
      <c r="B7" s="27" t="s">
        <v>220</v>
      </c>
      <c r="C7" s="26">
        <f>18*5</f>
        <v>90</v>
      </c>
      <c r="D7" s="26">
        <f>36*4</f>
        <v>144</v>
      </c>
      <c r="E7" s="26">
        <f>8*35</f>
        <v>280</v>
      </c>
      <c r="F7" s="26"/>
      <c r="G7" s="28"/>
      <c r="H7" s="26">
        <v>-90</v>
      </c>
      <c r="I7" s="26">
        <v>10</v>
      </c>
      <c r="J7" s="26"/>
      <c r="K7" s="31"/>
      <c r="L7" s="31">
        <v>5</v>
      </c>
      <c r="M7" s="29">
        <v>5</v>
      </c>
      <c r="N7" s="29">
        <v>3</v>
      </c>
      <c r="O7" s="31"/>
      <c r="P7" s="31"/>
      <c r="Q7" s="29">
        <v>5</v>
      </c>
      <c r="R7" s="31"/>
      <c r="S7" s="30">
        <f t="shared" si="0"/>
        <v>452</v>
      </c>
    </row>
    <row r="8" spans="1:19" ht="15">
      <c r="A8" s="26">
        <v>4</v>
      </c>
      <c r="B8" s="27" t="s">
        <v>221</v>
      </c>
      <c r="C8" s="26">
        <f>51*5</f>
        <v>255</v>
      </c>
      <c r="D8" s="26">
        <f>48*4</f>
        <v>192</v>
      </c>
      <c r="E8" s="26">
        <f>30*3</f>
        <v>90</v>
      </c>
      <c r="F8" s="26"/>
      <c r="G8" s="28"/>
      <c r="H8" s="26"/>
      <c r="I8" s="26">
        <v>10</v>
      </c>
      <c r="J8" s="26"/>
      <c r="K8" s="31">
        <v>20</v>
      </c>
      <c r="L8" s="31">
        <v>5</v>
      </c>
      <c r="M8" s="29">
        <v>5</v>
      </c>
      <c r="N8" s="29"/>
      <c r="O8" s="31"/>
      <c r="P8" s="31"/>
      <c r="Q8" s="29">
        <v>5</v>
      </c>
      <c r="R8" s="31">
        <v>2</v>
      </c>
      <c r="S8" s="30">
        <f t="shared" si="0"/>
        <v>584</v>
      </c>
    </row>
    <row r="9" spans="1:19" ht="15">
      <c r="A9" s="26">
        <v>5</v>
      </c>
      <c r="B9" s="27" t="s">
        <v>222</v>
      </c>
      <c r="C9" s="26">
        <f>131*5</f>
        <v>655</v>
      </c>
      <c r="D9" s="26">
        <f>14*4</f>
        <v>56</v>
      </c>
      <c r="E9" s="26">
        <v>9</v>
      </c>
      <c r="F9" s="26"/>
      <c r="G9" s="28"/>
      <c r="H9" s="26"/>
      <c r="I9" s="26"/>
      <c r="J9" s="26"/>
      <c r="K9" s="31">
        <v>20</v>
      </c>
      <c r="L9" s="31">
        <v>5</v>
      </c>
      <c r="M9" s="29">
        <v>15</v>
      </c>
      <c r="N9" s="29">
        <v>3</v>
      </c>
      <c r="O9" s="31"/>
      <c r="P9" s="31"/>
      <c r="Q9" s="29">
        <v>5</v>
      </c>
      <c r="R9" s="31"/>
      <c r="S9" s="30">
        <f t="shared" si="0"/>
        <v>768</v>
      </c>
    </row>
    <row r="10" spans="1:19" ht="15">
      <c r="A10" s="26">
        <v>6</v>
      </c>
      <c r="B10" s="27" t="s">
        <v>223</v>
      </c>
      <c r="C10" s="26">
        <f>14*5</f>
        <v>70</v>
      </c>
      <c r="D10" s="26">
        <f>77*4</f>
        <v>308</v>
      </c>
      <c r="E10" s="26">
        <f>43*3</f>
        <v>129</v>
      </c>
      <c r="F10" s="26"/>
      <c r="G10" s="28"/>
      <c r="H10" s="26">
        <v>-50</v>
      </c>
      <c r="I10" s="26"/>
      <c r="J10" s="26"/>
      <c r="K10" s="31">
        <v>20</v>
      </c>
      <c r="L10" s="31">
        <v>5</v>
      </c>
      <c r="M10" s="29">
        <v>10</v>
      </c>
      <c r="N10" s="29"/>
      <c r="O10" s="31"/>
      <c r="P10" s="31"/>
      <c r="Q10" s="29">
        <v>5</v>
      </c>
      <c r="R10" s="31">
        <v>2</v>
      </c>
      <c r="S10" s="30">
        <f t="shared" si="0"/>
        <v>499</v>
      </c>
    </row>
    <row r="11" spans="1:19" ht="15">
      <c r="A11" s="26">
        <v>7</v>
      </c>
      <c r="B11" s="27" t="s">
        <v>224</v>
      </c>
      <c r="C11" s="26">
        <f>25*5</f>
        <v>125</v>
      </c>
      <c r="D11" s="26">
        <f>65*4</f>
        <v>260</v>
      </c>
      <c r="E11" s="26">
        <f>44*3</f>
        <v>132</v>
      </c>
      <c r="F11" s="26"/>
      <c r="G11" s="28"/>
      <c r="H11" s="26"/>
      <c r="I11" s="26"/>
      <c r="J11" s="26"/>
      <c r="K11" s="31">
        <v>10</v>
      </c>
      <c r="L11" s="31">
        <v>5</v>
      </c>
      <c r="M11" s="29">
        <v>5</v>
      </c>
      <c r="N11" s="29"/>
      <c r="O11" s="31"/>
      <c r="P11" s="31"/>
      <c r="Q11" s="29">
        <v>5</v>
      </c>
      <c r="R11" s="31"/>
      <c r="S11" s="30">
        <f t="shared" si="0"/>
        <v>542</v>
      </c>
    </row>
    <row r="12" spans="1:19" ht="15">
      <c r="A12" s="26">
        <v>8</v>
      </c>
      <c r="B12" s="27" t="s">
        <v>225</v>
      </c>
      <c r="C12" s="26">
        <f>42*5</f>
        <v>210</v>
      </c>
      <c r="D12" s="26">
        <f>58*4</f>
        <v>232</v>
      </c>
      <c r="E12" s="26">
        <f>16*3</f>
        <v>48</v>
      </c>
      <c r="F12" s="26"/>
      <c r="G12" s="28"/>
      <c r="H12" s="26"/>
      <c r="I12" s="26"/>
      <c r="J12" s="26"/>
      <c r="K12" s="31">
        <v>20</v>
      </c>
      <c r="L12" s="31">
        <v>5</v>
      </c>
      <c r="M12" s="29">
        <v>10</v>
      </c>
      <c r="N12" s="29"/>
      <c r="O12" s="31"/>
      <c r="P12" s="31"/>
      <c r="Q12" s="29">
        <v>5</v>
      </c>
      <c r="R12" s="31">
        <v>2</v>
      </c>
      <c r="S12" s="30">
        <f t="shared" si="0"/>
        <v>532</v>
      </c>
    </row>
    <row r="13" spans="1:19" ht="15">
      <c r="A13" s="32">
        <v>9</v>
      </c>
      <c r="B13" s="33" t="s">
        <v>226</v>
      </c>
      <c r="C13" s="26">
        <f>65*5</f>
        <v>325</v>
      </c>
      <c r="D13" s="26">
        <f>66*4</f>
        <v>264</v>
      </c>
      <c r="E13" s="26">
        <f>2*3</f>
        <v>6</v>
      </c>
      <c r="F13" s="32"/>
      <c r="G13" s="28"/>
      <c r="H13" s="32"/>
      <c r="I13" s="32"/>
      <c r="J13" s="32"/>
      <c r="K13" s="34">
        <v>30</v>
      </c>
      <c r="L13" s="34">
        <v>5</v>
      </c>
      <c r="M13" s="32">
        <v>25</v>
      </c>
      <c r="N13" s="32">
        <v>8</v>
      </c>
      <c r="O13" s="34"/>
      <c r="P13" s="34">
        <v>5</v>
      </c>
      <c r="Q13" s="32">
        <v>5</v>
      </c>
      <c r="R13" s="34">
        <v>2</v>
      </c>
      <c r="S13" s="30">
        <f t="shared" si="0"/>
        <v>675</v>
      </c>
    </row>
    <row r="14" spans="1:19" ht="15">
      <c r="A14" s="32">
        <v>10</v>
      </c>
      <c r="B14" s="27" t="s">
        <v>227</v>
      </c>
      <c r="C14" s="26">
        <f>53*5</f>
        <v>265</v>
      </c>
      <c r="D14" s="26">
        <f>81*4</f>
        <v>324</v>
      </c>
      <c r="E14" s="26">
        <v>15</v>
      </c>
      <c r="F14" s="32"/>
      <c r="G14" s="28"/>
      <c r="H14" s="32"/>
      <c r="I14" s="32"/>
      <c r="J14" s="32"/>
      <c r="K14" s="34">
        <v>30</v>
      </c>
      <c r="L14" s="34"/>
      <c r="M14" s="32">
        <v>10</v>
      </c>
      <c r="N14" s="32">
        <v>5</v>
      </c>
      <c r="O14" s="34"/>
      <c r="P14" s="34"/>
      <c r="Q14" s="32">
        <v>5</v>
      </c>
      <c r="R14" s="34">
        <v>2</v>
      </c>
      <c r="S14" s="30">
        <f t="shared" si="0"/>
        <v>656</v>
      </c>
    </row>
    <row r="15" spans="1:19" ht="15">
      <c r="A15" s="26">
        <v>11</v>
      </c>
      <c r="B15" s="27" t="s">
        <v>228</v>
      </c>
      <c r="C15" s="26">
        <f>53*5</f>
        <v>265</v>
      </c>
      <c r="D15" s="26">
        <f>68*4</f>
        <v>272</v>
      </c>
      <c r="E15" s="26">
        <f>16*3</f>
        <v>48</v>
      </c>
      <c r="F15" s="26"/>
      <c r="G15" s="28"/>
      <c r="H15" s="26"/>
      <c r="I15" s="26"/>
      <c r="J15" s="26"/>
      <c r="K15" s="31">
        <v>10</v>
      </c>
      <c r="L15" s="31">
        <v>5</v>
      </c>
      <c r="M15" s="29">
        <v>30</v>
      </c>
      <c r="N15" s="29"/>
      <c r="O15" s="31"/>
      <c r="P15" s="31"/>
      <c r="Q15" s="29">
        <v>5</v>
      </c>
      <c r="R15" s="31">
        <v>2</v>
      </c>
      <c r="S15" s="30">
        <f t="shared" si="0"/>
        <v>637</v>
      </c>
    </row>
    <row r="16" spans="1:19" ht="15">
      <c r="A16" s="32">
        <v>12</v>
      </c>
      <c r="B16" s="27" t="s">
        <v>229</v>
      </c>
      <c r="C16" s="26">
        <f>44*5</f>
        <v>220</v>
      </c>
      <c r="D16" s="26">
        <f>55*4</f>
        <v>220</v>
      </c>
      <c r="E16" s="26">
        <f>24*3</f>
        <v>72</v>
      </c>
      <c r="F16" s="32"/>
      <c r="G16" s="28"/>
      <c r="H16" s="32"/>
      <c r="I16" s="32"/>
      <c r="J16" s="32"/>
      <c r="K16" s="34">
        <v>10</v>
      </c>
      <c r="L16" s="34">
        <v>5</v>
      </c>
      <c r="M16" s="32">
        <v>10</v>
      </c>
      <c r="N16" s="32"/>
      <c r="O16" s="34"/>
      <c r="P16" s="34"/>
      <c r="Q16" s="32">
        <v>5</v>
      </c>
      <c r="R16" s="34">
        <v>2</v>
      </c>
      <c r="S16" s="30">
        <f t="shared" si="0"/>
        <v>544</v>
      </c>
    </row>
    <row r="17" spans="1:19" ht="15">
      <c r="A17" s="26">
        <v>13</v>
      </c>
      <c r="B17" s="27" t="s">
        <v>230</v>
      </c>
      <c r="C17" s="26">
        <f>31*5</f>
        <v>155</v>
      </c>
      <c r="D17" s="26">
        <f>74*4</f>
        <v>296</v>
      </c>
      <c r="E17" s="26">
        <f>25*3</f>
        <v>75</v>
      </c>
      <c r="F17" s="26"/>
      <c r="G17" s="28"/>
      <c r="H17" s="26"/>
      <c r="I17" s="26">
        <v>10</v>
      </c>
      <c r="J17" s="26"/>
      <c r="K17" s="31">
        <v>10</v>
      </c>
      <c r="L17" s="31">
        <v>5</v>
      </c>
      <c r="M17" s="29"/>
      <c r="N17" s="29"/>
      <c r="O17" s="31"/>
      <c r="P17" s="31"/>
      <c r="Q17" s="29">
        <v>5</v>
      </c>
      <c r="R17" s="31"/>
      <c r="S17" s="30">
        <f t="shared" si="0"/>
        <v>556</v>
      </c>
    </row>
    <row r="18" spans="1:19" ht="15">
      <c r="A18" s="26">
        <v>14</v>
      </c>
      <c r="B18" s="27" t="s">
        <v>231</v>
      </c>
      <c r="C18" s="26">
        <f>132*5</f>
        <v>660</v>
      </c>
      <c r="D18" s="26">
        <f>29*4</f>
        <v>116</v>
      </c>
      <c r="E18" s="26">
        <v>9</v>
      </c>
      <c r="F18" s="26"/>
      <c r="G18" s="28"/>
      <c r="H18" s="26"/>
      <c r="I18" s="26"/>
      <c r="J18" s="26"/>
      <c r="K18" s="31">
        <v>20</v>
      </c>
      <c r="L18" s="31">
        <v>5</v>
      </c>
      <c r="M18" s="29">
        <v>5</v>
      </c>
      <c r="N18" s="29"/>
      <c r="O18" s="31"/>
      <c r="P18" s="31"/>
      <c r="Q18" s="29">
        <v>5</v>
      </c>
      <c r="R18" s="31"/>
      <c r="S18" s="30">
        <f t="shared" si="0"/>
        <v>820</v>
      </c>
    </row>
    <row r="19" spans="1:19" ht="15">
      <c r="A19" s="26">
        <v>15</v>
      </c>
      <c r="B19" s="27" t="s">
        <v>232</v>
      </c>
      <c r="C19" s="26">
        <f>22*5</f>
        <v>110</v>
      </c>
      <c r="D19" s="26">
        <f>90*4</f>
        <v>360</v>
      </c>
      <c r="E19" s="26">
        <f>25*3</f>
        <v>75</v>
      </c>
      <c r="F19" s="26"/>
      <c r="G19" s="28"/>
      <c r="H19" s="26">
        <v>-50</v>
      </c>
      <c r="I19" s="26"/>
      <c r="J19" s="26"/>
      <c r="K19" s="31"/>
      <c r="L19" s="31">
        <v>5</v>
      </c>
      <c r="M19" s="29">
        <v>5</v>
      </c>
      <c r="N19" s="29"/>
      <c r="O19" s="31"/>
      <c r="P19" s="31"/>
      <c r="Q19" s="29">
        <v>5</v>
      </c>
      <c r="R19" s="31"/>
      <c r="S19" s="30">
        <f t="shared" si="0"/>
        <v>510</v>
      </c>
    </row>
    <row r="20" spans="1:19" ht="15">
      <c r="A20" s="26">
        <v>16</v>
      </c>
      <c r="B20" s="27" t="s">
        <v>233</v>
      </c>
      <c r="C20" s="26">
        <f>44*5</f>
        <v>220</v>
      </c>
      <c r="D20" s="26">
        <f>91*4</f>
        <v>364</v>
      </c>
      <c r="E20" s="26">
        <v>18</v>
      </c>
      <c r="F20" s="26"/>
      <c r="G20" s="28"/>
      <c r="H20" s="26"/>
      <c r="I20" s="26"/>
      <c r="J20" s="26"/>
      <c r="K20" s="31">
        <v>10</v>
      </c>
      <c r="L20" s="31">
        <v>5</v>
      </c>
      <c r="M20" s="29">
        <v>10</v>
      </c>
      <c r="N20" s="29"/>
      <c r="O20" s="31"/>
      <c r="P20" s="31"/>
      <c r="Q20" s="29">
        <v>5</v>
      </c>
      <c r="R20" s="31">
        <v>2</v>
      </c>
      <c r="S20" s="30">
        <f t="shared" si="0"/>
        <v>634</v>
      </c>
    </row>
    <row r="21" spans="1:19" ht="15">
      <c r="A21" s="26">
        <v>17</v>
      </c>
      <c r="B21" s="27" t="s">
        <v>234</v>
      </c>
      <c r="C21" s="26">
        <f>26*5</f>
        <v>130</v>
      </c>
      <c r="D21" s="26">
        <f>81*4</f>
        <v>324</v>
      </c>
      <c r="E21" s="26">
        <f>10*3</f>
        <v>30</v>
      </c>
      <c r="F21" s="26"/>
      <c r="G21" s="28"/>
      <c r="H21" s="26"/>
      <c r="I21" s="26"/>
      <c r="J21" s="26"/>
      <c r="K21" s="31">
        <v>10</v>
      </c>
      <c r="L21" s="31">
        <v>5</v>
      </c>
      <c r="M21" s="29">
        <v>10</v>
      </c>
      <c r="N21" s="29"/>
      <c r="O21" s="31"/>
      <c r="P21" s="31"/>
      <c r="Q21" s="29">
        <v>5</v>
      </c>
      <c r="R21" s="31">
        <v>2</v>
      </c>
      <c r="S21" s="30">
        <f t="shared" si="0"/>
        <v>516</v>
      </c>
    </row>
    <row r="22" spans="1:19" ht="15">
      <c r="A22" s="26">
        <v>18</v>
      </c>
      <c r="B22" s="27" t="s">
        <v>235</v>
      </c>
      <c r="C22" s="26">
        <f>62*5</f>
        <v>310</v>
      </c>
      <c r="D22" s="26">
        <f>66*4</f>
        <v>264</v>
      </c>
      <c r="E22" s="26">
        <v>18</v>
      </c>
      <c r="F22" s="26"/>
      <c r="G22" s="28"/>
      <c r="H22" s="26"/>
      <c r="I22" s="26"/>
      <c r="J22" s="26"/>
      <c r="K22" s="31">
        <v>30</v>
      </c>
      <c r="L22" s="31">
        <v>5</v>
      </c>
      <c r="M22" s="29">
        <v>10</v>
      </c>
      <c r="N22" s="29">
        <v>3</v>
      </c>
      <c r="O22" s="31"/>
      <c r="P22" s="31"/>
      <c r="Q22" s="29">
        <v>5</v>
      </c>
      <c r="R22" s="31">
        <v>2</v>
      </c>
      <c r="S22" s="30">
        <f t="shared" si="0"/>
        <v>647</v>
      </c>
    </row>
    <row r="23" spans="1:19" ht="15">
      <c r="A23" s="26">
        <v>19</v>
      </c>
      <c r="B23" s="27" t="s">
        <v>236</v>
      </c>
      <c r="C23" s="26">
        <f>135*5</f>
        <v>675</v>
      </c>
      <c r="D23" s="26">
        <f>19*4</f>
        <v>76</v>
      </c>
      <c r="E23" s="26">
        <v>45</v>
      </c>
      <c r="F23" s="26"/>
      <c r="G23" s="28"/>
      <c r="H23" s="26"/>
      <c r="I23" s="26"/>
      <c r="J23" s="26"/>
      <c r="K23" s="31">
        <v>10</v>
      </c>
      <c r="L23" s="31"/>
      <c r="M23" s="29">
        <v>5</v>
      </c>
      <c r="N23" s="29"/>
      <c r="O23" s="31"/>
      <c r="P23" s="31"/>
      <c r="Q23" s="29">
        <v>5</v>
      </c>
      <c r="R23" s="31"/>
      <c r="S23" s="30">
        <f t="shared" si="0"/>
        <v>816</v>
      </c>
    </row>
    <row r="24" spans="1:19" ht="15">
      <c r="A24" s="26">
        <v>20</v>
      </c>
      <c r="B24" s="27" t="s">
        <v>237</v>
      </c>
      <c r="C24" s="26">
        <f>35*5</f>
        <v>175</v>
      </c>
      <c r="D24" s="26">
        <f>85*4</f>
        <v>340</v>
      </c>
      <c r="E24" s="26">
        <f>6*3</f>
        <v>18</v>
      </c>
      <c r="F24" s="26"/>
      <c r="G24" s="28"/>
      <c r="H24" s="26"/>
      <c r="I24" s="26"/>
      <c r="J24" s="26"/>
      <c r="K24" s="31">
        <v>20</v>
      </c>
      <c r="L24" s="31">
        <v>5</v>
      </c>
      <c r="M24" s="29">
        <v>5</v>
      </c>
      <c r="N24" s="29"/>
      <c r="O24" s="31"/>
      <c r="P24" s="31"/>
      <c r="Q24" s="29">
        <v>5</v>
      </c>
      <c r="R24" s="31"/>
      <c r="S24" s="30">
        <f t="shared" si="0"/>
        <v>568</v>
      </c>
    </row>
    <row r="25" spans="1:19" ht="15">
      <c r="A25" s="26">
        <v>21</v>
      </c>
      <c r="B25" s="27" t="s">
        <v>238</v>
      </c>
      <c r="C25" s="8">
        <v>35</v>
      </c>
      <c r="D25" s="8">
        <f>51*4</f>
        <v>204</v>
      </c>
      <c r="E25" s="26">
        <f>65*3</f>
        <v>195</v>
      </c>
      <c r="F25" s="26"/>
      <c r="G25" s="28"/>
      <c r="H25" s="26">
        <v>-70</v>
      </c>
      <c r="I25" s="26"/>
      <c r="J25" s="26"/>
      <c r="K25" s="31">
        <v>10</v>
      </c>
      <c r="L25" s="31"/>
      <c r="M25" s="29">
        <v>5</v>
      </c>
      <c r="N25" s="29"/>
      <c r="O25" s="31"/>
      <c r="P25" s="31"/>
      <c r="Q25" s="29">
        <v>5</v>
      </c>
      <c r="R25" s="31"/>
      <c r="S25" s="30">
        <f t="shared" si="0"/>
        <v>384</v>
      </c>
    </row>
    <row r="26" spans="1:19" ht="15">
      <c r="A26" s="26">
        <v>22</v>
      </c>
      <c r="B26" s="27" t="s">
        <v>239</v>
      </c>
      <c r="C26" s="8">
        <f>27*5</f>
        <v>135</v>
      </c>
      <c r="D26" s="8">
        <f>83*4</f>
        <v>332</v>
      </c>
      <c r="E26" s="26">
        <f>23*3</f>
        <v>69</v>
      </c>
      <c r="F26" s="26"/>
      <c r="G26" s="28"/>
      <c r="H26" s="26"/>
      <c r="I26" s="26"/>
      <c r="J26" s="26"/>
      <c r="K26" s="31">
        <v>20</v>
      </c>
      <c r="L26" s="31">
        <v>5</v>
      </c>
      <c r="M26" s="29">
        <v>20</v>
      </c>
      <c r="N26" s="29"/>
      <c r="O26" s="31"/>
      <c r="P26" s="31"/>
      <c r="Q26" s="29">
        <v>5</v>
      </c>
      <c r="R26" s="31"/>
      <c r="S26" s="30">
        <f t="shared" si="0"/>
        <v>586</v>
      </c>
    </row>
    <row r="27" spans="1:19" ht="15">
      <c r="A27" s="26">
        <v>23</v>
      </c>
      <c r="B27" s="27" t="s">
        <v>240</v>
      </c>
      <c r="C27" s="8">
        <f>36*5</f>
        <v>180</v>
      </c>
      <c r="D27" s="8">
        <f>87*4</f>
        <v>348</v>
      </c>
      <c r="E27" s="26">
        <f>15*3</f>
        <v>45</v>
      </c>
      <c r="F27" s="26"/>
      <c r="G27" s="28"/>
      <c r="H27" s="26"/>
      <c r="I27" s="26"/>
      <c r="J27" s="26"/>
      <c r="K27" s="31">
        <v>20</v>
      </c>
      <c r="L27" s="31"/>
      <c r="M27" s="29">
        <v>5</v>
      </c>
      <c r="N27" s="29"/>
      <c r="O27" s="31"/>
      <c r="P27" s="31"/>
      <c r="Q27" s="29">
        <v>5</v>
      </c>
      <c r="R27" s="31"/>
      <c r="S27" s="30">
        <f t="shared" si="0"/>
        <v>603</v>
      </c>
    </row>
    <row r="28" spans="1:19" ht="15">
      <c r="A28" s="26">
        <v>24</v>
      </c>
      <c r="B28" s="27" t="s">
        <v>241</v>
      </c>
      <c r="C28" s="8">
        <f>50*5</f>
        <v>250</v>
      </c>
      <c r="D28" s="8">
        <f>73*4</f>
        <v>292</v>
      </c>
      <c r="E28" s="26">
        <v>18</v>
      </c>
      <c r="F28" s="26"/>
      <c r="G28" s="28"/>
      <c r="H28" s="26"/>
      <c r="I28" s="26"/>
      <c r="J28" s="26"/>
      <c r="K28" s="31">
        <v>10</v>
      </c>
      <c r="L28" s="31">
        <v>5</v>
      </c>
      <c r="M28" s="29">
        <v>10</v>
      </c>
      <c r="N28" s="29"/>
      <c r="O28" s="31"/>
      <c r="P28" s="31"/>
      <c r="Q28" s="29">
        <v>5</v>
      </c>
      <c r="R28" s="31">
        <v>2</v>
      </c>
      <c r="S28" s="30">
        <f t="shared" si="0"/>
        <v>592</v>
      </c>
    </row>
    <row r="29" spans="1:19" ht="15">
      <c r="A29" s="26">
        <v>25</v>
      </c>
      <c r="B29" s="27" t="s">
        <v>242</v>
      </c>
      <c r="C29" s="8">
        <f>17*5</f>
        <v>85</v>
      </c>
      <c r="D29" s="8">
        <f>85*4</f>
        <v>340</v>
      </c>
      <c r="E29" s="26">
        <f>23*3</f>
        <v>69</v>
      </c>
      <c r="F29" s="26"/>
      <c r="G29" s="28"/>
      <c r="H29" s="26"/>
      <c r="I29" s="26"/>
      <c r="J29" s="26"/>
      <c r="K29" s="31">
        <v>10</v>
      </c>
      <c r="L29" s="31">
        <v>5</v>
      </c>
      <c r="M29" s="29">
        <v>10</v>
      </c>
      <c r="N29" s="29"/>
      <c r="O29" s="31"/>
      <c r="P29" s="31"/>
      <c r="Q29" s="29">
        <v>5</v>
      </c>
      <c r="R29" s="31"/>
      <c r="S29" s="30">
        <f t="shared" si="0"/>
        <v>524</v>
      </c>
    </row>
  </sheetData>
  <sheetProtection/>
  <mergeCells count="19">
    <mergeCell ref="P3:P4"/>
    <mergeCell ref="R3:R4"/>
    <mergeCell ref="S3:S4"/>
    <mergeCell ref="J3:J4"/>
    <mergeCell ref="K3:K4"/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2020-01-20T04:27:06Z</cp:lastPrinted>
  <dcterms:created xsi:type="dcterms:W3CDTF">2016-05-30T03:34:30Z</dcterms:created>
  <dcterms:modified xsi:type="dcterms:W3CDTF">2020-02-01T07:21:29Z</dcterms:modified>
  <cp:category/>
  <cp:version/>
  <cp:contentType/>
  <cp:contentStatus/>
</cp:coreProperties>
</file>